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54c20b19c3d983/Documents/6FELDIOARA/10Statii de incarcare AFM/Achizitie statii de incarcare/Site/"/>
    </mc:Choice>
  </mc:AlternateContent>
  <xr:revisionPtr revIDLastSave="19" documentId="8_{07A59025-715E-4CF5-8751-F33EB641D32C}" xr6:coauthVersionLast="47" xr6:coauthVersionMax="47" xr10:uidLastSave="{154ED97E-57C7-4C58-B872-FCD5ACA5E7AF}"/>
  <bookViews>
    <workbookView xWindow="-120" yWindow="-120" windowWidth="29040" windowHeight="15720" xr2:uid="{C284CBFD-2F8A-4D99-A3CF-93758FD66BC0}"/>
  </bookViews>
  <sheets>
    <sheet name="DG" sheetId="2" r:id="rId1"/>
    <sheet name="investitie defalcat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39" i="2" l="1"/>
  <c r="AC41" i="2" s="1"/>
  <c r="AG32" i="2"/>
  <c r="E78" i="2"/>
  <c r="F78" i="2" s="1"/>
  <c r="H78" i="2" s="1"/>
  <c r="E77" i="2"/>
  <c r="F77" i="2" s="1"/>
  <c r="E74" i="2"/>
  <c r="F74" i="2" s="1"/>
  <c r="E72" i="2"/>
  <c r="F72" i="2" s="1"/>
  <c r="E65" i="2"/>
  <c r="E67" i="2"/>
  <c r="F67" i="2" s="1"/>
  <c r="E68" i="2"/>
  <c r="E69" i="2"/>
  <c r="F69" i="2" s="1"/>
  <c r="E70" i="2"/>
  <c r="F70" i="2" s="1"/>
  <c r="E71" i="2"/>
  <c r="F71" i="2" s="1"/>
  <c r="U71" i="2" s="1"/>
  <c r="E64" i="2"/>
  <c r="F64" i="2" s="1"/>
  <c r="E46" i="2"/>
  <c r="F46" i="2" s="1"/>
  <c r="U46" i="2" s="1"/>
  <c r="E45" i="2"/>
  <c r="F45" i="2" s="1"/>
  <c r="E44" i="2"/>
  <c r="F44" i="2" s="1"/>
  <c r="E41" i="2"/>
  <c r="F41" i="2" s="1"/>
  <c r="U41" i="2" s="1"/>
  <c r="E40" i="2"/>
  <c r="F40" i="2" s="1"/>
  <c r="U40" i="2" s="1"/>
  <c r="E38" i="2"/>
  <c r="F38" i="2" s="1"/>
  <c r="E37" i="2"/>
  <c r="F37" i="2" s="1"/>
  <c r="E36" i="2"/>
  <c r="F36" i="2" s="1"/>
  <c r="E35" i="2"/>
  <c r="F35" i="2" s="1"/>
  <c r="E34" i="2"/>
  <c r="F34" i="2" s="1"/>
  <c r="H34" i="2" s="1"/>
  <c r="E33" i="2"/>
  <c r="F33" i="2" s="1"/>
  <c r="U33" i="2" s="1"/>
  <c r="E28" i="2"/>
  <c r="F28" i="2" s="1"/>
  <c r="E24" i="2"/>
  <c r="E25" i="2"/>
  <c r="F25" i="2" s="1"/>
  <c r="U25" i="2" s="1"/>
  <c r="E27" i="2"/>
  <c r="F27" i="2" s="1"/>
  <c r="E23" i="2"/>
  <c r="F23" i="2" s="1"/>
  <c r="H23" i="2" s="1"/>
  <c r="E14" i="2"/>
  <c r="F14" i="2" s="1"/>
  <c r="E15" i="2"/>
  <c r="F15" i="2" s="1"/>
  <c r="E16" i="2"/>
  <c r="E13" i="2"/>
  <c r="F13" i="2" s="1"/>
  <c r="C51" i="2"/>
  <c r="E51" i="2" s="1"/>
  <c r="F51" i="2" s="1"/>
  <c r="E50" i="2"/>
  <c r="F50" i="2" s="1"/>
  <c r="C58" i="2"/>
  <c r="E58" i="2" s="1"/>
  <c r="F58" i="2" s="1"/>
  <c r="C59" i="2"/>
  <c r="E59" i="2" s="1"/>
  <c r="G85" i="2"/>
  <c r="G84" i="2"/>
  <c r="C83" i="2"/>
  <c r="E82" i="2"/>
  <c r="F82" i="2" s="1"/>
  <c r="D82" i="2"/>
  <c r="E81" i="2"/>
  <c r="D81" i="2"/>
  <c r="D83" i="2" s="1"/>
  <c r="G79" i="2"/>
  <c r="C79" i="2"/>
  <c r="G78" i="2"/>
  <c r="D78" i="2"/>
  <c r="G77" i="2"/>
  <c r="D77" i="2"/>
  <c r="U76" i="2"/>
  <c r="G75" i="2"/>
  <c r="G74" i="2"/>
  <c r="G73" i="2"/>
  <c r="E73" i="2"/>
  <c r="G72" i="2"/>
  <c r="D72" i="2"/>
  <c r="G71" i="2"/>
  <c r="D71" i="2"/>
  <c r="G70" i="2"/>
  <c r="G69" i="2"/>
  <c r="D69" i="2"/>
  <c r="G68" i="2"/>
  <c r="D68" i="2"/>
  <c r="G67" i="2"/>
  <c r="D67" i="2"/>
  <c r="G66" i="2"/>
  <c r="G65" i="2"/>
  <c r="D65" i="2"/>
  <c r="G64" i="2"/>
  <c r="D64" i="2"/>
  <c r="G63" i="2"/>
  <c r="C63" i="2"/>
  <c r="U62" i="2"/>
  <c r="N61" i="2"/>
  <c r="O61" i="2" s="1"/>
  <c r="G61" i="2"/>
  <c r="T60" i="2"/>
  <c r="N60" i="2"/>
  <c r="G60" i="2"/>
  <c r="M59" i="2"/>
  <c r="P58" i="2" s="1"/>
  <c r="G59" i="2"/>
  <c r="O58" i="2"/>
  <c r="G58" i="2"/>
  <c r="G57" i="2"/>
  <c r="E57" i="2"/>
  <c r="F57" i="2" s="1"/>
  <c r="G56" i="2"/>
  <c r="E56" i="2"/>
  <c r="F56" i="2" s="1"/>
  <c r="V55" i="2"/>
  <c r="T55" i="2"/>
  <c r="G55" i="2"/>
  <c r="G54" i="2"/>
  <c r="T53" i="2"/>
  <c r="G53" i="2"/>
  <c r="G52" i="2"/>
  <c r="E52" i="2"/>
  <c r="F52" i="2" s="1"/>
  <c r="G51" i="2"/>
  <c r="G50" i="2"/>
  <c r="T49" i="2"/>
  <c r="G49" i="2"/>
  <c r="U48" i="2"/>
  <c r="G47" i="2"/>
  <c r="G46" i="2"/>
  <c r="D46" i="2"/>
  <c r="G45" i="2"/>
  <c r="D45" i="2"/>
  <c r="G44" i="2"/>
  <c r="D44" i="2"/>
  <c r="G43" i="2"/>
  <c r="C43" i="2"/>
  <c r="C42" i="2" s="1"/>
  <c r="G42" i="2"/>
  <c r="G41" i="2"/>
  <c r="G40" i="2"/>
  <c r="H39" i="2"/>
  <c r="G39" i="2"/>
  <c r="D39" i="2"/>
  <c r="E39" i="2"/>
  <c r="G38" i="2"/>
  <c r="D38" i="2"/>
  <c r="T37" i="2"/>
  <c r="G37" i="2"/>
  <c r="D37" i="2"/>
  <c r="X36" i="2"/>
  <c r="G36" i="2"/>
  <c r="D36" i="2"/>
  <c r="G35" i="2"/>
  <c r="D35" i="2"/>
  <c r="G34" i="2"/>
  <c r="D34" i="2"/>
  <c r="G33" i="2"/>
  <c r="D33" i="2"/>
  <c r="G32" i="2"/>
  <c r="C32" i="2"/>
  <c r="C31" i="2" s="1"/>
  <c r="G31" i="2"/>
  <c r="G30" i="2"/>
  <c r="C30" i="2"/>
  <c r="E30" i="2" s="1"/>
  <c r="G29" i="2"/>
  <c r="C29" i="2"/>
  <c r="D29" i="2" s="1"/>
  <c r="G28" i="2"/>
  <c r="D28" i="2"/>
  <c r="G27" i="2"/>
  <c r="D27" i="2"/>
  <c r="G26" i="2"/>
  <c r="C26" i="2"/>
  <c r="E26" i="2" s="1"/>
  <c r="G25" i="2"/>
  <c r="G24" i="2"/>
  <c r="F24" i="2"/>
  <c r="U24" i="2" s="1"/>
  <c r="G23" i="2"/>
  <c r="D23" i="2"/>
  <c r="G22" i="2"/>
  <c r="U21" i="2"/>
  <c r="Y20" i="2"/>
  <c r="G20" i="2"/>
  <c r="G19" i="2"/>
  <c r="C20" i="2"/>
  <c r="E20" i="2" s="1"/>
  <c r="U18" i="2"/>
  <c r="G17" i="2"/>
  <c r="G16" i="2"/>
  <c r="F16" i="2"/>
  <c r="U16" i="2" s="1"/>
  <c r="D16" i="2"/>
  <c r="G15" i="2"/>
  <c r="D15" i="2"/>
  <c r="AA14" i="2"/>
  <c r="Z14" i="2"/>
  <c r="G14" i="2"/>
  <c r="D14" i="2"/>
  <c r="C17" i="2"/>
  <c r="G13" i="2"/>
  <c r="D13" i="2"/>
  <c r="AA11" i="2"/>
  <c r="Z11" i="2"/>
  <c r="Y5" i="2"/>
  <c r="Y6" i="2" s="1"/>
  <c r="W2" i="2"/>
  <c r="F22" i="1"/>
  <c r="D58" i="2" l="1"/>
  <c r="Y26" i="2"/>
  <c r="D43" i="2"/>
  <c r="D42" i="2" s="1"/>
  <c r="N59" i="2"/>
  <c r="E43" i="2"/>
  <c r="E42" i="2" s="1"/>
  <c r="E79" i="2"/>
  <c r="E19" i="2"/>
  <c r="F19" i="2" s="1"/>
  <c r="I19" i="2" s="1"/>
  <c r="T19" i="2" s="1"/>
  <c r="E29" i="2"/>
  <c r="F29" i="2" s="1"/>
  <c r="U29" i="2" s="1"/>
  <c r="E32" i="2"/>
  <c r="E31" i="2" s="1"/>
  <c r="E17" i="2"/>
  <c r="F79" i="2"/>
  <c r="U79" i="2" s="1"/>
  <c r="U78" i="2"/>
  <c r="E63" i="2"/>
  <c r="F59" i="2"/>
  <c r="H59" i="2" s="1"/>
  <c r="H13" i="2"/>
  <c r="U13" i="2"/>
  <c r="D20" i="2"/>
  <c r="F20" i="2"/>
  <c r="H20" i="2" s="1"/>
  <c r="U27" i="2"/>
  <c r="H27" i="2"/>
  <c r="U36" i="2"/>
  <c r="H36" i="2"/>
  <c r="E83" i="2"/>
  <c r="D63" i="2"/>
  <c r="F65" i="2"/>
  <c r="U65" i="2" s="1"/>
  <c r="D17" i="2"/>
  <c r="D79" i="2"/>
  <c r="U23" i="2"/>
  <c r="O60" i="2"/>
  <c r="F17" i="2"/>
  <c r="U17" i="2" s="1"/>
  <c r="M55" i="2"/>
  <c r="O55" i="2" s="1"/>
  <c r="D59" i="2"/>
  <c r="U77" i="2"/>
  <c r="C66" i="2"/>
  <c r="U15" i="2"/>
  <c r="H15" i="2"/>
  <c r="H38" i="2"/>
  <c r="U38" i="2"/>
  <c r="U58" i="2"/>
  <c r="H58" i="2"/>
  <c r="U64" i="2"/>
  <c r="H64" i="2"/>
  <c r="F63" i="2"/>
  <c r="U70" i="2"/>
  <c r="H70" i="2"/>
  <c r="I28" i="2"/>
  <c r="T28" i="2" s="1"/>
  <c r="H28" i="2"/>
  <c r="U28" i="2"/>
  <c r="U72" i="2"/>
  <c r="H72" i="2"/>
  <c r="F43" i="2"/>
  <c r="U44" i="2"/>
  <c r="H44" i="2"/>
  <c r="U14" i="2"/>
  <c r="H14" i="2"/>
  <c r="U35" i="2"/>
  <c r="H35" i="2"/>
  <c r="U37" i="2"/>
  <c r="H37" i="2"/>
  <c r="U45" i="2"/>
  <c r="H45" i="2"/>
  <c r="U69" i="2"/>
  <c r="H69" i="2"/>
  <c r="O59" i="2"/>
  <c r="P55" i="2" s="1"/>
  <c r="N63" i="2"/>
  <c r="D30" i="2"/>
  <c r="D32" i="2"/>
  <c r="D31" i="2" s="1"/>
  <c r="D70" i="2"/>
  <c r="D66" i="2" s="1"/>
  <c r="H77" i="2"/>
  <c r="H79" i="2" s="1"/>
  <c r="F81" i="2"/>
  <c r="F83" i="2" s="1"/>
  <c r="F30" i="2"/>
  <c r="V35" i="2"/>
  <c r="H67" i="2"/>
  <c r="H71" i="2"/>
  <c r="U34" i="2"/>
  <c r="U67" i="2"/>
  <c r="D73" i="2"/>
  <c r="H16" i="2"/>
  <c r="D26" i="2"/>
  <c r="D22" i="2" s="1"/>
  <c r="H33" i="2"/>
  <c r="F39" i="2"/>
  <c r="H46" i="2"/>
  <c r="F73" i="2"/>
  <c r="E22" i="2"/>
  <c r="C22" i="2"/>
  <c r="C47" i="2" s="1"/>
  <c r="H29" i="2" l="1"/>
  <c r="U59" i="2"/>
  <c r="M63" i="2"/>
  <c r="H65" i="2"/>
  <c r="U19" i="2"/>
  <c r="U20" i="2"/>
  <c r="C75" i="2"/>
  <c r="E66" i="2"/>
  <c r="E75" i="2" s="1"/>
  <c r="H17" i="2"/>
  <c r="E47" i="2"/>
  <c r="D47" i="2"/>
  <c r="D75" i="2"/>
  <c r="F68" i="2"/>
  <c r="H68" i="2" s="1"/>
  <c r="H66" i="2" s="1"/>
  <c r="H73" i="2"/>
  <c r="U73" i="2"/>
  <c r="I73" i="2"/>
  <c r="T73" i="2" s="1"/>
  <c r="U30" i="2"/>
  <c r="H30" i="2"/>
  <c r="U43" i="2"/>
  <c r="F42" i="2"/>
  <c r="U42" i="2" s="1"/>
  <c r="F32" i="2"/>
  <c r="U39" i="2"/>
  <c r="V40" i="2"/>
  <c r="U63" i="2"/>
  <c r="F26" i="2"/>
  <c r="O63" i="2"/>
  <c r="P63" i="2" s="1"/>
  <c r="H43" i="2"/>
  <c r="H42" i="2" s="1"/>
  <c r="H63" i="2"/>
  <c r="U68" i="2" l="1"/>
  <c r="F66" i="2"/>
  <c r="U66" i="2" s="1"/>
  <c r="U32" i="2"/>
  <c r="F31" i="2"/>
  <c r="U31" i="2" s="1"/>
  <c r="H32" i="2"/>
  <c r="H31" i="2" s="1"/>
  <c r="H26" i="2"/>
  <c r="H22" i="2" s="1"/>
  <c r="U26" i="2"/>
  <c r="F22" i="2"/>
  <c r="H75" i="2"/>
  <c r="H47" i="2" l="1"/>
  <c r="F75" i="2"/>
  <c r="U75" i="2" s="1"/>
  <c r="I32" i="2"/>
  <c r="U22" i="2"/>
  <c r="F47" i="2"/>
  <c r="U47" i="2" l="1"/>
  <c r="E12" i="1" l="1"/>
  <c r="E13" i="1" s="1"/>
  <c r="K13" i="1" s="1"/>
  <c r="F4" i="1"/>
  <c r="K26" i="1"/>
  <c r="K27" i="1"/>
  <c r="K25" i="1"/>
  <c r="F12" i="1"/>
  <c r="G11" i="1"/>
  <c r="H11" i="1"/>
  <c r="E9" i="1"/>
  <c r="K9" i="1" s="1"/>
  <c r="E10" i="1"/>
  <c r="K10" i="1" s="1"/>
  <c r="E15" i="1"/>
  <c r="K15" i="1" s="1"/>
  <c r="E16" i="1"/>
  <c r="K16" i="1" s="1"/>
  <c r="E17" i="1"/>
  <c r="K17" i="1" s="1"/>
  <c r="E18" i="1"/>
  <c r="K18" i="1" s="1"/>
  <c r="E19" i="1"/>
  <c r="K19" i="1" s="1"/>
  <c r="E7" i="1"/>
  <c r="K7" i="1" s="1"/>
  <c r="E6" i="1"/>
  <c r="K6" i="1" s="1"/>
  <c r="K5" i="1"/>
  <c r="E4" i="1"/>
  <c r="K12" i="1" l="1"/>
  <c r="K4" i="1"/>
  <c r="K8" i="1" s="1"/>
  <c r="E29" i="1"/>
  <c r="K29" i="1" s="1"/>
  <c r="K22" i="1"/>
  <c r="K23" i="1" s="1"/>
  <c r="E11" i="1"/>
  <c r="E60" i="2" l="1"/>
  <c r="F60" i="2" s="1"/>
  <c r="D60" i="2"/>
  <c r="W55" i="2"/>
  <c r="D55" i="2"/>
  <c r="E55" i="2"/>
  <c r="F55" i="2" s="1"/>
  <c r="K11" i="1"/>
  <c r="E14" i="1"/>
  <c r="K14" i="1" s="1"/>
  <c r="E28" i="1"/>
  <c r="K28" i="1" s="1"/>
  <c r="K30" i="1" s="1"/>
  <c r="H55" i="2" l="1"/>
  <c r="U55" i="2"/>
  <c r="U60" i="2"/>
  <c r="H60" i="2"/>
  <c r="K20" i="1"/>
  <c r="E49" i="2" l="1"/>
  <c r="F49" i="2" s="1"/>
  <c r="D49" i="2"/>
  <c r="C85" i="2"/>
  <c r="C61" i="2"/>
  <c r="C84" i="2" s="1"/>
  <c r="E53" i="2"/>
  <c r="F53" i="2" s="1"/>
  <c r="D53" i="2"/>
  <c r="K35" i="1"/>
  <c r="F85" i="2" l="1"/>
  <c r="U85" i="2" s="1"/>
  <c r="F61" i="2"/>
  <c r="V41" i="2"/>
  <c r="H49" i="2"/>
  <c r="U49" i="2"/>
  <c r="V36" i="2"/>
  <c r="V37" i="2" s="1"/>
  <c r="U53" i="2"/>
  <c r="H53" i="2"/>
  <c r="D85" i="2"/>
  <c r="D61" i="2"/>
  <c r="D84" i="2" s="1"/>
  <c r="E85" i="2"/>
  <c r="E61" i="2"/>
  <c r="E84" i="2" s="1"/>
  <c r="I31" i="2" l="1"/>
  <c r="U61" i="2"/>
  <c r="I39" i="2"/>
  <c r="I61" i="2"/>
  <c r="F84" i="2"/>
  <c r="H61" i="2"/>
  <c r="H84" i="2" s="1"/>
  <c r="H85" i="2"/>
  <c r="U84" i="2" l="1"/>
  <c r="V84" i="2"/>
  <c r="I40" i="2"/>
  <c r="T39" i="2"/>
  <c r="I2" i="2"/>
  <c r="V2" i="2" s="1"/>
  <c r="T31" i="2"/>
  <c r="T2" i="2" s="1"/>
  <c r="T36" i="2"/>
  <c r="V64" i="2" l="1"/>
  <c r="V65" i="2" s="1"/>
  <c r="V49" i="2"/>
  <c r="V53" i="2" s="1"/>
</calcChain>
</file>

<file path=xl/sharedStrings.xml><?xml version="1.0" encoding="utf-8"?>
<sst xmlns="http://schemas.openxmlformats.org/spreadsheetml/2006/main" count="231" uniqueCount="186">
  <si>
    <t>Statie de incarcare</t>
  </si>
  <si>
    <t>locatia primarie</t>
  </si>
  <si>
    <t>locatia dispensar</t>
  </si>
  <si>
    <t>locatia Rotbav</t>
  </si>
  <si>
    <t>locatia parc Reconstructia</t>
  </si>
  <si>
    <t>cantitate</t>
  </si>
  <si>
    <t>pret</t>
  </si>
  <si>
    <t>total</t>
  </si>
  <si>
    <t>Fundatie statie de incarcare</t>
  </si>
  <si>
    <t>Fundatie stalp</t>
  </si>
  <si>
    <t>Corp iluminat zona incarcare</t>
  </si>
  <si>
    <t>Priza de pamant statie</t>
  </si>
  <si>
    <t>Marcaj loc de parcare</t>
  </si>
  <si>
    <t>Panou informare statie de incarcare</t>
  </si>
  <si>
    <t>Soft statie de incarcare</t>
  </si>
  <si>
    <t xml:space="preserve">Stalp H=6m pentru iluminat adaptiv si panou informare statie </t>
  </si>
  <si>
    <t>Sapatura( intre fundatie statie si BMPT) trotuar/asfalt inclusiv refaceri</t>
  </si>
  <si>
    <t>Sapatura( intre fundatie statie si BMPT) zona verde inclusiv refaceri</t>
  </si>
  <si>
    <t>Echipamente</t>
  </si>
  <si>
    <t>Lucrari</t>
  </si>
  <si>
    <t>Active necorporale</t>
  </si>
  <si>
    <t>Montaj</t>
  </si>
  <si>
    <t>UM</t>
  </si>
  <si>
    <t>Platbanda pentru priza de pamant olz 25x4</t>
  </si>
  <si>
    <t>Montaj statie de incarcare</t>
  </si>
  <si>
    <t>Montaj corp de iluminat</t>
  </si>
  <si>
    <t>Montaj camera de supraveghere</t>
  </si>
  <si>
    <t xml:space="preserve">Pozare cablu </t>
  </si>
  <si>
    <t>Pozare platbanda</t>
  </si>
  <si>
    <t>Cablu alimentare statie RVK 4x10</t>
  </si>
  <si>
    <t>Cablu alimntare corpuri de iluminat si camere CYYF 3x2.5</t>
  </si>
  <si>
    <t>Tub protectie D=40mm</t>
  </si>
  <si>
    <t>diferenta disponibila</t>
  </si>
  <si>
    <t>DISPONIBILI</t>
  </si>
  <si>
    <t>Beneficiar: Comuna Feldioara, Brasov</t>
  </si>
  <si>
    <t>DEVIZ GENERAL</t>
  </si>
  <si>
    <t>fara tva</t>
  </si>
  <si>
    <t>cota TVA</t>
  </si>
  <si>
    <t>lei/euro la cursul BCE</t>
  </si>
  <si>
    <t>din data de</t>
  </si>
  <si>
    <t>01.11.2021</t>
  </si>
  <si>
    <t>Nr. crt.</t>
  </si>
  <si>
    <t>Denumirea capitolelor şi subcapitolelor de cheltuieli</t>
  </si>
  <si>
    <t>Valoare</t>
  </si>
  <si>
    <t>TVA</t>
  </si>
  <si>
    <t>Valoare cu</t>
  </si>
  <si>
    <t>control defalcare</t>
  </si>
  <si>
    <t>(fără TVA)</t>
  </si>
  <si>
    <t>SF</t>
  </si>
  <si>
    <t>LEI</t>
  </si>
  <si>
    <t>EURO</t>
  </si>
  <si>
    <t>PROIECT</t>
  </si>
  <si>
    <t>CAPITOLUL 1 Cheltuieli pentru obţinerea şi amenajarea terenului</t>
  </si>
  <si>
    <t>1.1</t>
  </si>
  <si>
    <t>Obţinerea terenului</t>
  </si>
  <si>
    <t>CONSULTANTA</t>
  </si>
  <si>
    <t>1.2</t>
  </si>
  <si>
    <t>Amenajarea terenului</t>
  </si>
  <si>
    <t>1.3</t>
  </si>
  <si>
    <t>Amenajări pentru protecţia mediului şi aducerea la starea iniţială</t>
  </si>
  <si>
    <t>MONTAJ STATIE</t>
  </si>
  <si>
    <t>1.4</t>
  </si>
  <si>
    <t>Cheltuieli pentru relocarea/protecţia utilităţilor</t>
  </si>
  <si>
    <t>INSTALATII ELECTRICE STATIE</t>
  </si>
  <si>
    <t>Total capitol 1</t>
  </si>
  <si>
    <t>PROCURARE STATIE</t>
  </si>
  <si>
    <t>CAPITOLUL 2 Cheltuieli pentru asigurarea utilităţilor necesare obiectivului de investiţii</t>
  </si>
  <si>
    <t>SOFTWARE</t>
  </si>
  <si>
    <t>2.1</t>
  </si>
  <si>
    <t>Alimentare energie electrica</t>
  </si>
  <si>
    <t>INFORMARE</t>
  </si>
  <si>
    <t>Total capitol 2</t>
  </si>
  <si>
    <t>CAPITOLUL 3 Cheltuieli pentru proiectare şi asistenţă tehnică</t>
  </si>
  <si>
    <t>3.1</t>
  </si>
  <si>
    <t>Studii</t>
  </si>
  <si>
    <t>6% din cheltuielile eligibile investitie de baza</t>
  </si>
  <si>
    <t>3.1.1. Studii de teren</t>
  </si>
  <si>
    <t>3.1.1.1. Studiu topografic</t>
  </si>
  <si>
    <t>3.1.1.2. Studiu geotehnic</t>
  </si>
  <si>
    <t>3.1.2. Raport privind impactul asupra mediului</t>
  </si>
  <si>
    <t>3.1.3. Alte studii specifice</t>
  </si>
  <si>
    <t>3.2</t>
  </si>
  <si>
    <t>Documentaţii-suport şi cheltuieli pentru obţinerea de avize, acorduri şi autorizaţii</t>
  </si>
  <si>
    <t>3.3</t>
  </si>
  <si>
    <t>Expertizare tehnică</t>
  </si>
  <si>
    <t>3.4</t>
  </si>
  <si>
    <t>Certificarea performanţei energetice şi auditul energetic al clădirilor</t>
  </si>
  <si>
    <t>3.5</t>
  </si>
  <si>
    <t>Proiectare</t>
  </si>
  <si>
    <t>3.5.1. Temă de proiectare</t>
  </si>
  <si>
    <t>3.5.2. Studiu de prefezabilitate</t>
  </si>
  <si>
    <t>3.5.3. Studiu de fezabilitate/documentaţie de avizare a lucrărilor de intervenţii şi deviz general</t>
  </si>
  <si>
    <t>sf</t>
  </si>
  <si>
    <t>3.5.4. Documentaţiile tehnice necesare în vederea obţinerii avizelor/acordurilor /autorizaţiilor</t>
  </si>
  <si>
    <t xml:space="preserve">proiect </t>
  </si>
  <si>
    <t>3.5.5. Verificarea tehnică de calitate a proiectului tehnic şi a detaliilor de execuţie</t>
  </si>
  <si>
    <t>3.5.6. Proiect tehnic şi detalii de execuţie</t>
  </si>
  <si>
    <t>3.6</t>
  </si>
  <si>
    <t>Organizarea procedurilor de achiziţie</t>
  </si>
  <si>
    <t>consultanta</t>
  </si>
  <si>
    <t>3.7</t>
  </si>
  <si>
    <t>Consultanţă</t>
  </si>
  <si>
    <t>4% din cheltuielile eligibile investitie de baza</t>
  </si>
  <si>
    <t>3.7.1 Pregatire dosar si depunere cerere de finantare</t>
  </si>
  <si>
    <t>3.7.2 Managementul de proiect pentru obiectivul de investitii</t>
  </si>
  <si>
    <t>3.8</t>
  </si>
  <si>
    <t>Asistenţă tehnică</t>
  </si>
  <si>
    <t>3.8.1. Asistenţă tehnică din partea proiectantului</t>
  </si>
  <si>
    <t>3.8.1.1. pe perioada de execuţie a lucrărilor</t>
  </si>
  <si>
    <t>3.8.1.2. pentru participarea proiectantului la fazele incluse în programul de control al lucrărilor de execuţie, avizat de către Inspectoratul de Stat în Construcţii</t>
  </si>
  <si>
    <t>3.8.2. Dirigenţie de şantier</t>
  </si>
  <si>
    <t>Total capitol 3</t>
  </si>
  <si>
    <t>CAPITOLUL 4 Cheltuieli pentru investiţia de bază</t>
  </si>
  <si>
    <t>4.1</t>
  </si>
  <si>
    <t>Construcţii şi instalaţii</t>
  </si>
  <si>
    <t>V1</t>
  </si>
  <si>
    <t>90%=500.000</t>
  </si>
  <si>
    <t>Cofinantare 10%</t>
  </si>
  <si>
    <t>4.1.1 Lucrări de construcţii, instalaţii şi montaj aferente staţiilor de reîncărcare</t>
  </si>
  <si>
    <t>4.1.2 Lucrări pentru asigurarea cu energie electrică necesară funcţionării obiectivului de investiţie, precum şi cheltuielile aferente racordării la reţeaua de energie electrică</t>
  </si>
  <si>
    <t>4.1.3 Lucrari de amenajare locurilor de parcare</t>
  </si>
  <si>
    <t>4.2</t>
  </si>
  <si>
    <t>Montaj utilaje, echipamente tehnologice şi funcţionale</t>
  </si>
  <si>
    <t>Cheltuieli eligibile</t>
  </si>
  <si>
    <t>Valoare fara TVA</t>
  </si>
  <si>
    <t>Valoare TVA</t>
  </si>
  <si>
    <t>Valoare cu TVA</t>
  </si>
  <si>
    <t>4.2.1 Montaj statii de incarcare</t>
  </si>
  <si>
    <t>4.3</t>
  </si>
  <si>
    <t>Utilaje, echipamente tehnologice şi funcţionale care necesită montaj</t>
  </si>
  <si>
    <t xml:space="preserve">Proiectare si asistenta tehnica - 5% din investitia de baza </t>
  </si>
  <si>
    <t>4.3.1 Achizitia statii de incarcare</t>
  </si>
  <si>
    <t>4.3.2 Achiziţia şi montajul sistemului de panouri fotovoltaice ca soluţie alternativă de alimentare cu energie electrică a staţiilor de reîncărcare</t>
  </si>
  <si>
    <t>4.4</t>
  </si>
  <si>
    <t>Utilaje, echipamente tehnologice şi funcţionale care nu necesită montaj şi echipamente de transport</t>
  </si>
  <si>
    <t xml:space="preserve">Consultanta  - 4% din invstitia de baza </t>
  </si>
  <si>
    <t>4.5</t>
  </si>
  <si>
    <t>Dotări</t>
  </si>
  <si>
    <t>Total investitie de baza , din care:</t>
  </si>
  <si>
    <t>4.6</t>
  </si>
  <si>
    <t>achizitionarea si instalarea unui numar de 180 corpuri de iluminat cu LED cu eficienta energetica ridicata</t>
  </si>
  <si>
    <t>Total capitol 4</t>
  </si>
  <si>
    <t>achizitionarea si instalarea sistemului de dimare /telegestiune care permite reglarea fluxului luminos la nivelul intregului obiectiv de investitie</t>
  </si>
  <si>
    <t>CAPITOLUL 5 Alte cheltuieli</t>
  </si>
  <si>
    <t>5.1</t>
  </si>
  <si>
    <t>Organizare de şantier</t>
  </si>
  <si>
    <t>TOTAL</t>
  </si>
  <si>
    <t>5.1.1. Lucrări de construcţii şi instalaţii aferente organizării de şantier</t>
  </si>
  <si>
    <t>5.1.2. Cheltuieli conexe organizării şantierului</t>
  </si>
  <si>
    <t>5.2</t>
  </si>
  <si>
    <t>Comisioane, cote, taxe, costul creditului</t>
  </si>
  <si>
    <t>V2</t>
  </si>
  <si>
    <t>100%= 500.000</t>
  </si>
  <si>
    <t>5.2.1. Comisioanele şi dobânzile aferente creditului băncii finanţatoare</t>
  </si>
  <si>
    <t>5.2.2. Cota aferentă ISC pentru controlul calităţii lucrărilor de construcţii</t>
  </si>
  <si>
    <t>5.2.3. Cota aferentă ISC pentru controlul statului în amenajarea teritoriului, urbanism şi pentru autorizarea lucrărilor de construcţii</t>
  </si>
  <si>
    <t>5.2.4. Cota aferentă Casei Sociale a Constructorilor - CSC</t>
  </si>
  <si>
    <t>5.2.5. Taxe pentru acorduri, avize conforme şi autorizaţia de construire/desfiinţare</t>
  </si>
  <si>
    <t>5.3</t>
  </si>
  <si>
    <t>Cheltuieli diverse şi neprevăzute</t>
  </si>
  <si>
    <t>5.4</t>
  </si>
  <si>
    <t>Cheltuieli pentru informare şi publicitate</t>
  </si>
  <si>
    <t>5.4.1 Realizarea panourilor de informare</t>
  </si>
  <si>
    <t>Total capitol 5</t>
  </si>
  <si>
    <t>CAPITOLUL 6 Cheltuieli pentru probe tehnologice şi teste</t>
  </si>
  <si>
    <t>6.1</t>
  </si>
  <si>
    <t>Pregătirea personalului de exploatare</t>
  </si>
  <si>
    <t>6.2</t>
  </si>
  <si>
    <t>Probe tehnologice şi teste</t>
  </si>
  <si>
    <t>Total capitol 6</t>
  </si>
  <si>
    <t>CAPITOLUL 7 Cheltuieli aferente marjei de buget și pentru constituirea rezervei de implementare
pentru ajustarea de preț</t>
  </si>
  <si>
    <t>7.1</t>
  </si>
  <si>
    <t>Cheltuieli aferente marjei de buget (25% din 1.2, 1.3, 1.4, 2, 3.1, 3.2, 3.3, 3.5, 3.7, 3.8, 4, 5.1.1)</t>
  </si>
  <si>
    <t>7.2</t>
  </si>
  <si>
    <t xml:space="preserve">Cheltuieli pentru constituirea rezervei de implementare </t>
  </si>
  <si>
    <t>Total capitol 7</t>
  </si>
  <si>
    <t>TOTAL GENERAL</t>
  </si>
  <si>
    <t>din care: C + M (1.2 + 1.3 +1.4 + 2 + 4.1 + 4.2 + 5.1.1)</t>
  </si>
  <si>
    <t>Beneficiar/Investitor,</t>
  </si>
  <si>
    <t>Întocmit,</t>
  </si>
  <si>
    <t>COMUNA FELDIOARA, BRASOV</t>
  </si>
  <si>
    <t>buc</t>
  </si>
  <si>
    <t>Camera supraveghere</t>
  </si>
  <si>
    <t>ml</t>
  </si>
  <si>
    <t>4%din 41424346</t>
  </si>
  <si>
    <t xml:space="preserve">Montare statii de reincarcare pentru vehicule electrice in comuna Feldioara, judetul Brasov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</si>
</sst>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#,##0.000"/>
    <numFmt numFmtId="167" formatCode="#,##0.0000"/>
  </numFmts>
  <fonts count="1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color indexed="8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</font>
    <font>
      <b/>
      <u/>
      <sz val="12"/>
      <color rgb="FFFF0000"/>
      <name val="Tahoma"/>
      <family val="2"/>
    </font>
    <font>
      <sz val="12"/>
      <name val="Tahoma"/>
      <family val="2"/>
      <charset val="238"/>
    </font>
    <font>
      <sz val="12"/>
      <name val="Tahoma"/>
      <family val="2"/>
    </font>
    <font>
      <sz val="12"/>
      <color rgb="FFFF0000"/>
      <name val="Tahoma"/>
      <family val="2"/>
    </font>
    <font>
      <b/>
      <sz val="12"/>
      <color theme="3" tint="-0.249977111117893"/>
      <name val="Tahoma"/>
      <family val="2"/>
    </font>
    <font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4" fontId="4" fillId="0" borderId="0" xfId="0" applyNumberFormat="1" applyFont="1"/>
    <xf numFmtId="2" fontId="4" fillId="0" borderId="0" xfId="0" applyNumberFormat="1" applyFont="1"/>
    <xf numFmtId="4" fontId="6" fillId="0" borderId="0" xfId="0" applyNumberFormat="1" applyFont="1" applyAlignment="1">
      <alignment horizontal="center"/>
    </xf>
    <xf numFmtId="9" fontId="8" fillId="0" borderId="0" xfId="0" applyNumberFormat="1" applyFont="1"/>
    <xf numFmtId="0" fontId="9" fillId="0" borderId="0" xfId="0" applyFont="1"/>
    <xf numFmtId="0" fontId="10" fillId="0" borderId="0" xfId="0" applyFont="1"/>
    <xf numFmtId="1" fontId="5" fillId="0" borderId="0" xfId="0" applyNumberFormat="1" applyFont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2" fontId="10" fillId="0" borderId="0" xfId="0" applyNumberFormat="1" applyFont="1"/>
    <xf numFmtId="9" fontId="5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4" fontId="5" fillId="0" borderId="0" xfId="0" applyNumberFormat="1" applyFont="1"/>
    <xf numFmtId="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/>
    <xf numFmtId="4" fontId="11" fillId="0" borderId="0" xfId="0" applyNumberFormat="1" applyFont="1" applyAlignment="1">
      <alignment vertical="center"/>
    </xf>
    <xf numFmtId="3" fontId="10" fillId="0" borderId="0" xfId="0" applyNumberFormat="1" applyFont="1"/>
    <xf numFmtId="3" fontId="3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4" fontId="10" fillId="0" borderId="0" xfId="0" applyNumberFormat="1" applyFont="1"/>
    <xf numFmtId="165" fontId="5" fillId="0" borderId="0" xfId="0" applyNumberFormat="1" applyFont="1"/>
    <xf numFmtId="2" fontId="5" fillId="0" borderId="0" xfId="0" applyNumberFormat="1" applyFont="1"/>
    <xf numFmtId="0" fontId="9" fillId="0" borderId="1" xfId="0" applyFont="1" applyBorder="1" applyAlignment="1">
      <alignment horizontal="justify" vertical="center" wrapText="1"/>
    </xf>
    <xf numFmtId="4" fontId="9" fillId="0" borderId="0" xfId="0" applyNumberFormat="1" applyFont="1"/>
    <xf numFmtId="2" fontId="9" fillId="0" borderId="0" xfId="0" applyNumberFormat="1" applyFont="1"/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center" wrapText="1"/>
    </xf>
    <xf numFmtId="10" fontId="10" fillId="0" borderId="1" xfId="0" applyNumberFormat="1" applyFont="1" applyBorder="1"/>
    <xf numFmtId="2" fontId="9" fillId="0" borderId="1" xfId="0" applyNumberFormat="1" applyFont="1" applyBorder="1" applyAlignment="1">
      <alignment vertical="center" wrapText="1"/>
    </xf>
    <xf numFmtId="0" fontId="12" fillId="0" borderId="0" xfId="0" applyFont="1"/>
    <xf numFmtId="3" fontId="10" fillId="0" borderId="1" xfId="0" applyNumberFormat="1" applyFont="1" applyBorder="1"/>
    <xf numFmtId="10" fontId="5" fillId="0" borderId="0" xfId="0" applyNumberFormat="1" applyFont="1"/>
    <xf numFmtId="166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9" fillId="0" borderId="7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7" fontId="4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0" borderId="0" xfId="0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a\pre%20sales\feldioara\statii%20incarcare\PT%20statii\@%20Deviz%20Statii%20Feldioara%20PT.xlsx" TargetMode="External"/><Relationship Id="rId1" Type="http://schemas.openxmlformats.org/officeDocument/2006/relationships/externalLinkPath" Target="file:///D:\Ana\pre%20sales\feldioara\statii%20incarcare\PT%20statii\@%20Deviz%20Statii%20Feldioara%20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get Cerere de finantare"/>
      <sheetName val="Situatie Iluminat Sate Ciugud"/>
      <sheetName val="DEviz sub forma de oferta"/>
      <sheetName val="DO01"/>
      <sheetName val="DO2)"/>
      <sheetName val="DO03"/>
      <sheetName val="DO04"/>
      <sheetName val="DO05"/>
      <sheetName val="DO1"/>
      <sheetName val="DO3"/>
      <sheetName val="DO4"/>
      <sheetName val="DO5"/>
      <sheetName val="d05"/>
      <sheetName val="d06"/>
      <sheetName val="D07"/>
      <sheetName val="D08"/>
      <sheetName val="D09"/>
      <sheetName val="DO cap III"/>
      <sheetName val="DO CAP V"/>
      <sheetName val="DG S1"/>
      <sheetName val="DG S1 loc 1"/>
      <sheetName val="DG S1 loc 2"/>
      <sheetName val="DG S1 loc 3"/>
      <sheetName val="DG S1 loc 4"/>
      <sheetName val="Sheet1"/>
      <sheetName val="DEVIZ ELIGIBIL "/>
      <sheetName val="DEVIZ NEELIGIBIL "/>
      <sheetName val="ANTEMASURATOARE"/>
      <sheetName val="ELEGIBIL"/>
      <sheetName val="DEVIZ ELIGIBIL"/>
      <sheetName val="DEVIZ NEELIGIBIL"/>
      <sheetName val="esantionare"/>
      <sheetName val="investitii totale"/>
      <sheetName val="distributia costurilor si venit"/>
      <sheetName val="sursele de finantare"/>
      <sheetName val="sustenabilitate financiara"/>
      <sheetName val="RIR FINAN. INVE"/>
      <sheetName val="RIR CAPITAL"/>
      <sheetName val="VARIATIA RIR-VAN"/>
      <sheetName val="Costuri de exploatare"/>
      <sheetName val="x"/>
      <sheetName val="DO2"/>
      <sheetName val="AE_TABEL GENERAL"/>
      <sheetName val="AE_T1"/>
      <sheetName val="AE_T2"/>
      <sheetName val="AE_T3"/>
      <sheetName val="AE_T4"/>
      <sheetName val="AE_T6"/>
      <sheetName val="AE_T8"/>
      <sheetName val="AE_T9"/>
      <sheetName val="grafic fiz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C13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202.069188490139</v>
          </cell>
        </row>
        <row r="33">
          <cell r="D33">
            <v>8891.0442935661158</v>
          </cell>
        </row>
        <row r="44">
          <cell r="D44">
            <v>0</v>
          </cell>
        </row>
        <row r="45">
          <cell r="D45">
            <v>0</v>
          </cell>
        </row>
      </sheetData>
      <sheetData sheetId="18">
        <row r="17">
          <cell r="D17">
            <v>0</v>
          </cell>
        </row>
        <row r="21">
          <cell r="D21">
            <v>151.55189136760427</v>
          </cell>
        </row>
        <row r="22">
          <cell r="D22">
            <v>30.512447462010989</v>
          </cell>
        </row>
      </sheetData>
      <sheetData sheetId="19"/>
      <sheetData sheetId="20">
        <row r="13">
          <cell r="F13">
            <v>0</v>
          </cell>
        </row>
        <row r="14">
          <cell r="F14">
            <v>1428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1428</v>
          </cell>
        </row>
        <row r="19">
          <cell r="F19">
            <v>4462.5</v>
          </cell>
        </row>
        <row r="20">
          <cell r="F20">
            <v>4462.5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4760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12405.75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8925</v>
          </cell>
        </row>
        <row r="35">
          <cell r="F35">
            <v>148.75</v>
          </cell>
        </row>
        <row r="36">
          <cell r="F36">
            <v>357</v>
          </cell>
        </row>
        <row r="37">
          <cell r="F37">
            <v>2975</v>
          </cell>
        </row>
        <row r="38">
          <cell r="F38">
            <v>0</v>
          </cell>
        </row>
        <row r="39">
          <cell r="F39">
            <v>2677.5</v>
          </cell>
        </row>
        <row r="40">
          <cell r="F40">
            <v>1487.5</v>
          </cell>
        </row>
        <row r="41">
          <cell r="F41">
            <v>1190</v>
          </cell>
        </row>
        <row r="42">
          <cell r="F42">
            <v>1309</v>
          </cell>
        </row>
        <row r="43">
          <cell r="F43">
            <v>595</v>
          </cell>
        </row>
        <row r="44">
          <cell r="F44">
            <v>446.25</v>
          </cell>
        </row>
        <row r="45">
          <cell r="F45">
            <v>148.75</v>
          </cell>
        </row>
        <row r="46">
          <cell r="F46">
            <v>714</v>
          </cell>
        </row>
        <row r="47">
          <cell r="F47">
            <v>21152.25</v>
          </cell>
        </row>
        <row r="49">
          <cell r="F49">
            <v>46330.666666666672</v>
          </cell>
        </row>
        <row r="50">
          <cell r="F50">
            <v>40142.666666666672</v>
          </cell>
        </row>
        <row r="51">
          <cell r="F51">
            <v>7854</v>
          </cell>
        </row>
        <row r="52">
          <cell r="F52">
            <v>4760</v>
          </cell>
        </row>
        <row r="53">
          <cell r="F53">
            <v>5950</v>
          </cell>
        </row>
        <row r="54">
          <cell r="F54"/>
        </row>
        <row r="55">
          <cell r="F55">
            <v>33320</v>
          </cell>
        </row>
        <row r="56">
          <cell r="F56">
            <v>33320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12852</v>
          </cell>
        </row>
        <row r="61">
          <cell r="F61">
            <v>98452.666666666672</v>
          </cell>
        </row>
        <row r="63">
          <cell r="F63">
            <v>1190</v>
          </cell>
        </row>
        <row r="64">
          <cell r="F64">
            <v>595</v>
          </cell>
        </row>
        <row r="65">
          <cell r="F65">
            <v>595</v>
          </cell>
        </row>
        <row r="66">
          <cell r="F66">
            <v>5190.7666666666664</v>
          </cell>
        </row>
        <row r="67">
          <cell r="F67">
            <v>0</v>
          </cell>
        </row>
        <row r="68">
          <cell r="F68">
            <v>197.16666666666669</v>
          </cell>
        </row>
        <row r="69">
          <cell r="F69">
            <v>38.933333333333337</v>
          </cell>
        </row>
        <row r="70">
          <cell r="F70">
            <v>194.66666666666669</v>
          </cell>
        </row>
        <row r="71">
          <cell r="F71">
            <v>4760</v>
          </cell>
        </row>
        <row r="72">
          <cell r="F72">
            <v>634.66666666666674</v>
          </cell>
        </row>
        <row r="73">
          <cell r="F73">
            <v>595</v>
          </cell>
        </row>
        <row r="74">
          <cell r="F74">
            <v>595</v>
          </cell>
        </row>
        <row r="75">
          <cell r="F75">
            <v>7610.4333333333334</v>
          </cell>
        </row>
        <row r="77">
          <cell r="F77">
            <v>333.33333333333331</v>
          </cell>
        </row>
        <row r="78">
          <cell r="F78">
            <v>333.33333333333331</v>
          </cell>
        </row>
        <row r="79">
          <cell r="F79">
            <v>666.66666666666663</v>
          </cell>
        </row>
        <row r="80">
          <cell r="F80">
            <v>133772.51666666666</v>
          </cell>
        </row>
        <row r="81">
          <cell r="F81">
            <v>58766.166666666672</v>
          </cell>
        </row>
      </sheetData>
      <sheetData sheetId="21">
        <row r="13">
          <cell r="F13">
            <v>0</v>
          </cell>
        </row>
        <row r="14">
          <cell r="F14">
            <v>1428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1428</v>
          </cell>
        </row>
        <row r="19">
          <cell r="F19">
            <v>4462.5</v>
          </cell>
        </row>
        <row r="20">
          <cell r="F20">
            <v>4462.5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4760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12405.75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8925</v>
          </cell>
        </row>
        <row r="35">
          <cell r="F35">
            <v>148.75</v>
          </cell>
        </row>
        <row r="36">
          <cell r="F36">
            <v>357</v>
          </cell>
        </row>
        <row r="37">
          <cell r="F37">
            <v>2975</v>
          </cell>
        </row>
        <row r="38">
          <cell r="F38">
            <v>0</v>
          </cell>
        </row>
        <row r="39">
          <cell r="F39">
            <v>2677.5</v>
          </cell>
        </row>
        <row r="40">
          <cell r="F40">
            <v>1487.5</v>
          </cell>
        </row>
        <row r="41">
          <cell r="F41">
            <v>1190</v>
          </cell>
        </row>
        <row r="42">
          <cell r="F42">
            <v>1309</v>
          </cell>
        </row>
        <row r="43">
          <cell r="F43">
            <v>595</v>
          </cell>
        </row>
        <row r="44">
          <cell r="F44">
            <v>446.25</v>
          </cell>
        </row>
        <row r="45">
          <cell r="F45">
            <v>148.75</v>
          </cell>
        </row>
        <row r="46">
          <cell r="F46">
            <v>714</v>
          </cell>
        </row>
        <row r="47">
          <cell r="F47">
            <v>21152.25</v>
          </cell>
        </row>
        <row r="49">
          <cell r="F49">
            <v>46330.666666666672</v>
          </cell>
        </row>
        <row r="50">
          <cell r="F50">
            <v>40142.666666666672</v>
          </cell>
        </row>
        <row r="51">
          <cell r="F51">
            <v>7854</v>
          </cell>
        </row>
        <row r="52">
          <cell r="F52">
            <v>4760</v>
          </cell>
        </row>
        <row r="53">
          <cell r="F53">
            <v>5950</v>
          </cell>
        </row>
        <row r="54">
          <cell r="F54"/>
        </row>
        <row r="55">
          <cell r="F55">
            <v>33320</v>
          </cell>
        </row>
        <row r="56">
          <cell r="F56">
            <v>33320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12852</v>
          </cell>
        </row>
        <row r="61">
          <cell r="F61">
            <v>98452.666666666672</v>
          </cell>
        </row>
        <row r="63">
          <cell r="F63">
            <v>1190</v>
          </cell>
        </row>
        <row r="64">
          <cell r="F64">
            <v>595</v>
          </cell>
        </row>
        <row r="65">
          <cell r="F65">
            <v>595</v>
          </cell>
        </row>
        <row r="66">
          <cell r="F66">
            <v>5190.7666666666664</v>
          </cell>
        </row>
        <row r="67">
          <cell r="F67">
            <v>0</v>
          </cell>
        </row>
        <row r="68">
          <cell r="F68">
            <v>197.16666666666669</v>
          </cell>
        </row>
        <row r="69">
          <cell r="F69">
            <v>38.933333333333337</v>
          </cell>
        </row>
        <row r="70">
          <cell r="F70">
            <v>194.66666666666669</v>
          </cell>
        </row>
        <row r="71">
          <cell r="F71">
            <v>4760</v>
          </cell>
        </row>
        <row r="72">
          <cell r="F72">
            <v>634.66666666666674</v>
          </cell>
        </row>
        <row r="73">
          <cell r="F73">
            <v>595</v>
          </cell>
        </row>
        <row r="74">
          <cell r="F74">
            <v>595</v>
          </cell>
        </row>
        <row r="75">
          <cell r="F75">
            <v>7610.4333333333334</v>
          </cell>
        </row>
        <row r="77">
          <cell r="F77">
            <v>333.33333333333331</v>
          </cell>
        </row>
        <row r="78">
          <cell r="F78">
            <v>333.33333333333331</v>
          </cell>
        </row>
        <row r="79">
          <cell r="F79">
            <v>666.66666666666663</v>
          </cell>
        </row>
        <row r="80">
          <cell r="F80">
            <v>133772.51666666666</v>
          </cell>
        </row>
        <row r="81">
          <cell r="F81">
            <v>58766.166666666672</v>
          </cell>
        </row>
      </sheetData>
      <sheetData sheetId="22">
        <row r="13">
          <cell r="F13">
            <v>0</v>
          </cell>
        </row>
        <row r="14">
          <cell r="F14">
            <v>714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714</v>
          </cell>
        </row>
        <row r="19">
          <cell r="F19">
            <v>4462.5</v>
          </cell>
        </row>
        <row r="20">
          <cell r="F20">
            <v>4462.5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4760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12405.75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8925</v>
          </cell>
        </row>
        <row r="35">
          <cell r="F35">
            <v>148.75</v>
          </cell>
        </row>
        <row r="36">
          <cell r="F36">
            <v>357</v>
          </cell>
        </row>
        <row r="37">
          <cell r="F37">
            <v>2975</v>
          </cell>
        </row>
        <row r="38">
          <cell r="F38">
            <v>0</v>
          </cell>
        </row>
        <row r="39">
          <cell r="F39">
            <v>2677.5</v>
          </cell>
        </row>
        <row r="40">
          <cell r="F40">
            <v>1487.5</v>
          </cell>
        </row>
        <row r="41">
          <cell r="F41">
            <v>1190</v>
          </cell>
        </row>
        <row r="42">
          <cell r="F42">
            <v>1309</v>
          </cell>
        </row>
        <row r="43">
          <cell r="F43">
            <v>595</v>
          </cell>
        </row>
        <row r="44">
          <cell r="F44">
            <v>446.25</v>
          </cell>
        </row>
        <row r="45">
          <cell r="F45">
            <v>148.75</v>
          </cell>
        </row>
        <row r="46">
          <cell r="F46">
            <v>714</v>
          </cell>
        </row>
        <row r="47">
          <cell r="F47">
            <v>21152.25</v>
          </cell>
        </row>
        <row r="49">
          <cell r="F49">
            <v>23165.333333333336</v>
          </cell>
        </row>
        <row r="50">
          <cell r="F50">
            <v>20071.333333333336</v>
          </cell>
        </row>
        <row r="51">
          <cell r="F51">
            <v>3927</v>
          </cell>
        </row>
        <row r="52">
          <cell r="F52">
            <v>2380</v>
          </cell>
        </row>
        <row r="53">
          <cell r="F53">
            <v>2975</v>
          </cell>
        </row>
        <row r="54">
          <cell r="F54"/>
        </row>
        <row r="55">
          <cell r="F55">
            <v>16660</v>
          </cell>
        </row>
        <row r="56">
          <cell r="F56">
            <v>16660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6426</v>
          </cell>
        </row>
        <row r="61">
          <cell r="F61">
            <v>49226.333333333336</v>
          </cell>
        </row>
        <row r="63">
          <cell r="F63">
            <v>1190</v>
          </cell>
        </row>
        <row r="64">
          <cell r="F64">
            <v>595</v>
          </cell>
        </row>
        <row r="65">
          <cell r="F65">
            <v>595</v>
          </cell>
        </row>
        <row r="66">
          <cell r="F66">
            <v>4976.6333333333332</v>
          </cell>
        </row>
        <row r="67">
          <cell r="F67">
            <v>0</v>
          </cell>
        </row>
        <row r="68">
          <cell r="F68">
            <v>99.833333333333343</v>
          </cell>
        </row>
        <row r="69">
          <cell r="F69">
            <v>19.466666666666669</v>
          </cell>
        </row>
        <row r="70">
          <cell r="F70">
            <v>97.333333333333343</v>
          </cell>
        </row>
        <row r="71">
          <cell r="F71">
            <v>4760</v>
          </cell>
        </row>
        <row r="72">
          <cell r="F72">
            <v>317.33333333333337</v>
          </cell>
        </row>
        <row r="73">
          <cell r="F73">
            <v>297.5</v>
          </cell>
        </row>
        <row r="74">
          <cell r="F74">
            <v>297.5</v>
          </cell>
        </row>
        <row r="75">
          <cell r="F75">
            <v>6781.4666666666662</v>
          </cell>
        </row>
        <row r="77">
          <cell r="F77">
            <v>166.66666666666666</v>
          </cell>
        </row>
        <row r="78">
          <cell r="F78">
            <v>166.66666666666666</v>
          </cell>
        </row>
        <row r="79">
          <cell r="F79">
            <v>333.33333333333331</v>
          </cell>
        </row>
        <row r="80">
          <cell r="F80">
            <v>82669.883333333331</v>
          </cell>
        </row>
        <row r="81">
          <cell r="F81">
            <v>31911.833333333336</v>
          </cell>
        </row>
      </sheetData>
      <sheetData sheetId="23">
        <row r="13">
          <cell r="F13">
            <v>0</v>
          </cell>
        </row>
        <row r="14">
          <cell r="F14">
            <v>714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714</v>
          </cell>
        </row>
        <row r="19">
          <cell r="F19">
            <v>4462.5</v>
          </cell>
        </row>
        <row r="20">
          <cell r="F20">
            <v>4462.5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4760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12405.75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8925</v>
          </cell>
        </row>
        <row r="35">
          <cell r="F35">
            <v>148.75</v>
          </cell>
        </row>
        <row r="36">
          <cell r="F36">
            <v>357</v>
          </cell>
        </row>
        <row r="37">
          <cell r="F37">
            <v>2975</v>
          </cell>
        </row>
        <row r="38">
          <cell r="F38">
            <v>0</v>
          </cell>
        </row>
        <row r="39">
          <cell r="F39">
            <v>2677.5</v>
          </cell>
        </row>
        <row r="40">
          <cell r="F40">
            <v>1487.5</v>
          </cell>
        </row>
        <row r="41">
          <cell r="F41">
            <v>1190</v>
          </cell>
        </row>
        <row r="42">
          <cell r="F42">
            <v>1309</v>
          </cell>
        </row>
        <row r="43">
          <cell r="F43">
            <v>595</v>
          </cell>
        </row>
        <row r="44">
          <cell r="F44">
            <v>446.25</v>
          </cell>
        </row>
        <row r="45">
          <cell r="F45">
            <v>148.75</v>
          </cell>
        </row>
        <row r="46">
          <cell r="F46">
            <v>714</v>
          </cell>
        </row>
        <row r="47">
          <cell r="F47">
            <v>21152.25</v>
          </cell>
        </row>
        <row r="49">
          <cell r="F49">
            <v>23165.333333333336</v>
          </cell>
        </row>
        <row r="50">
          <cell r="F50">
            <v>20071.333333333336</v>
          </cell>
        </row>
        <row r="51">
          <cell r="F51">
            <v>3927</v>
          </cell>
        </row>
        <row r="52">
          <cell r="F52">
            <v>2380</v>
          </cell>
        </row>
        <row r="53">
          <cell r="F53">
            <v>2975</v>
          </cell>
        </row>
        <row r="54">
          <cell r="F54"/>
        </row>
        <row r="55">
          <cell r="F55">
            <v>16660</v>
          </cell>
        </row>
        <row r="56">
          <cell r="F56">
            <v>16660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6426</v>
          </cell>
        </row>
        <row r="61">
          <cell r="F61">
            <v>49226.333333333336</v>
          </cell>
        </row>
        <row r="63">
          <cell r="F63">
            <v>1190</v>
          </cell>
        </row>
        <row r="64">
          <cell r="F64">
            <v>595</v>
          </cell>
        </row>
        <row r="65">
          <cell r="F65">
            <v>595</v>
          </cell>
        </row>
        <row r="66">
          <cell r="F66">
            <v>4976.6333333333332</v>
          </cell>
        </row>
        <row r="67">
          <cell r="F67">
            <v>0</v>
          </cell>
        </row>
        <row r="68">
          <cell r="F68">
            <v>99.833333333333343</v>
          </cell>
        </row>
        <row r="69">
          <cell r="F69">
            <v>19.466666666666669</v>
          </cell>
        </row>
        <row r="70">
          <cell r="F70">
            <v>97.333333333333343</v>
          </cell>
        </row>
        <row r="71">
          <cell r="F71">
            <v>4760</v>
          </cell>
        </row>
        <row r="72">
          <cell r="F72">
            <v>317.33333333333337</v>
          </cell>
        </row>
        <row r="73">
          <cell r="F73">
            <v>297.5</v>
          </cell>
        </row>
        <row r="74">
          <cell r="F74">
            <v>297.5</v>
          </cell>
        </row>
        <row r="75">
          <cell r="F75">
            <v>6781.4666666666662</v>
          </cell>
        </row>
        <row r="77">
          <cell r="F77">
            <v>166.66666666666666</v>
          </cell>
        </row>
        <row r="78">
          <cell r="F78">
            <v>166.66666666666666</v>
          </cell>
        </row>
        <row r="79">
          <cell r="F79">
            <v>333.33333333333331</v>
          </cell>
        </row>
        <row r="80">
          <cell r="F80">
            <v>82669.883333333331</v>
          </cell>
        </row>
        <row r="81">
          <cell r="F81">
            <v>31911.833333333336</v>
          </cell>
        </row>
      </sheetData>
      <sheetData sheetId="24"/>
      <sheetData sheetId="2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/>
        </row>
        <row r="19">
          <cell r="F19">
            <v>17850</v>
          </cell>
        </row>
        <row r="20">
          <cell r="F20">
            <v>17850</v>
          </cell>
        </row>
        <row r="21">
          <cell r="F21"/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19040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16179.24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14751.24</v>
          </cell>
        </row>
        <row r="35">
          <cell r="F35">
            <v>0</v>
          </cell>
        </row>
        <row r="36">
          <cell r="F36">
            <v>1428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10710</v>
          </cell>
        </row>
        <row r="40">
          <cell r="F40">
            <v>5950</v>
          </cell>
        </row>
        <row r="41">
          <cell r="F41">
            <v>4760</v>
          </cell>
        </row>
        <row r="42">
          <cell r="F42">
            <v>5236</v>
          </cell>
        </row>
        <row r="43">
          <cell r="F43">
            <v>2380</v>
          </cell>
        </row>
        <row r="44">
          <cell r="F44">
            <v>1785</v>
          </cell>
        </row>
        <row r="45">
          <cell r="F45">
            <v>595</v>
          </cell>
        </row>
        <row r="46">
          <cell r="F46">
            <v>2856</v>
          </cell>
        </row>
        <row r="47">
          <cell r="F47">
            <v>51165.24</v>
          </cell>
        </row>
        <row r="48">
          <cell r="F48"/>
        </row>
        <row r="49">
          <cell r="F49">
            <v>101150</v>
          </cell>
        </row>
        <row r="50">
          <cell r="F50">
            <v>17850</v>
          </cell>
        </row>
        <row r="51">
          <cell r="F51">
            <v>99960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38556</v>
          </cell>
        </row>
        <row r="55">
          <cell r="F55">
            <v>257516</v>
          </cell>
        </row>
        <row r="56">
          <cell r="F56"/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19040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19040</v>
          </cell>
        </row>
        <row r="66">
          <cell r="F66">
            <v>0</v>
          </cell>
        </row>
        <row r="67">
          <cell r="F67">
            <v>1785</v>
          </cell>
        </row>
        <row r="68">
          <cell r="F68">
            <v>20825</v>
          </cell>
        </row>
        <row r="69">
          <cell r="F69"/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347356.24</v>
          </cell>
        </row>
        <row r="74">
          <cell r="F74">
            <v>136850</v>
          </cell>
        </row>
      </sheetData>
      <sheetData sheetId="26">
        <row r="13">
          <cell r="F13">
            <v>0</v>
          </cell>
        </row>
        <row r="14">
          <cell r="F14">
            <v>4284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4284</v>
          </cell>
        </row>
        <row r="18">
          <cell r="F18"/>
        </row>
        <row r="19">
          <cell r="F19">
            <v>0</v>
          </cell>
        </row>
        <row r="20">
          <cell r="F20">
            <v>0</v>
          </cell>
        </row>
        <row r="21">
          <cell r="F21"/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33443.760000000002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20948.760000000002</v>
          </cell>
        </row>
        <row r="35">
          <cell r="F35">
            <v>595</v>
          </cell>
        </row>
        <row r="36">
          <cell r="F36">
            <v>0</v>
          </cell>
        </row>
        <row r="37">
          <cell r="F37">
            <v>11900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33443.760000000002</v>
          </cell>
        </row>
        <row r="48">
          <cell r="F48"/>
        </row>
        <row r="49">
          <cell r="F49">
            <v>37842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37842</v>
          </cell>
        </row>
        <row r="56">
          <cell r="F56"/>
        </row>
        <row r="57">
          <cell r="F57">
            <v>4760</v>
          </cell>
        </row>
        <row r="58">
          <cell r="F58">
            <v>2380</v>
          </cell>
        </row>
        <row r="59">
          <cell r="F59">
            <v>2380</v>
          </cell>
        </row>
        <row r="60">
          <cell r="F60">
            <v>1294.8</v>
          </cell>
        </row>
        <row r="61">
          <cell r="F61">
            <v>0</v>
          </cell>
        </row>
        <row r="62">
          <cell r="F62">
            <v>594</v>
          </cell>
        </row>
        <row r="63">
          <cell r="F63">
            <v>116.8</v>
          </cell>
        </row>
        <row r="64">
          <cell r="F64">
            <v>584</v>
          </cell>
        </row>
        <row r="65">
          <cell r="F65">
            <v>0</v>
          </cell>
        </row>
        <row r="66">
          <cell r="F66">
            <v>1904</v>
          </cell>
        </row>
        <row r="67">
          <cell r="F67">
            <v>0</v>
          </cell>
        </row>
        <row r="68">
          <cell r="F68">
            <v>7958.8</v>
          </cell>
        </row>
        <row r="69">
          <cell r="F69"/>
        </row>
        <row r="70">
          <cell r="F70">
            <v>1000</v>
          </cell>
        </row>
        <row r="71">
          <cell r="F71">
            <v>1000</v>
          </cell>
        </row>
        <row r="72">
          <cell r="F72">
            <v>2000</v>
          </cell>
        </row>
        <row r="73">
          <cell r="F73">
            <v>85528.560000000012</v>
          </cell>
        </row>
        <row r="74">
          <cell r="F74">
            <v>44506</v>
          </cell>
        </row>
      </sheetData>
      <sheetData sheetId="27">
        <row r="1">
          <cell r="B1">
            <v>4800000</v>
          </cell>
        </row>
        <row r="33">
          <cell r="F33">
            <v>31800</v>
          </cell>
        </row>
        <row r="49">
          <cell r="F49"/>
        </row>
        <row r="50">
          <cell r="F50"/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05C5-6B36-483B-B6D0-5A1677E4C219}">
  <sheetPr>
    <pageSetUpPr fitToPage="1"/>
  </sheetPr>
  <dimension ref="A1:AG108"/>
  <sheetViews>
    <sheetView tabSelected="1" zoomScale="85" zoomScaleNormal="85" workbookViewId="0">
      <selection activeCell="A4" sqref="A4:H4"/>
    </sheetView>
  </sheetViews>
  <sheetFormatPr defaultRowHeight="15" x14ac:dyDescent="0.2"/>
  <cols>
    <col min="1" max="1" width="6.7109375" style="10" customWidth="1"/>
    <col min="2" max="2" width="43.28515625" style="10" customWidth="1"/>
    <col min="3" max="3" width="18.85546875" style="10" customWidth="1"/>
    <col min="4" max="4" width="13.7109375" style="10" hidden="1" customWidth="1"/>
    <col min="5" max="5" width="15.42578125" style="10" customWidth="1"/>
    <col min="6" max="6" width="17.7109375" style="10" customWidth="1"/>
    <col min="7" max="7" width="28.140625" style="10" hidden="1" customWidth="1"/>
    <col min="8" max="8" width="11.42578125" style="7" hidden="1" customWidth="1"/>
    <col min="9" max="9" width="15.42578125" style="7" hidden="1" customWidth="1"/>
    <col min="10" max="10" width="3.5703125" style="7" hidden="1" customWidth="1"/>
    <col min="11" max="11" width="15" style="7" hidden="1" customWidth="1"/>
    <col min="12" max="12" width="44" style="7" hidden="1" customWidth="1"/>
    <col min="13" max="13" width="17.28515625" style="7" hidden="1" customWidth="1"/>
    <col min="14" max="14" width="12.7109375" style="7" hidden="1" customWidth="1"/>
    <col min="15" max="15" width="11.7109375" style="7" hidden="1" customWidth="1"/>
    <col min="16" max="16" width="10.5703125" style="7" hidden="1" customWidth="1"/>
    <col min="17" max="17" width="7" style="7" hidden="1" customWidth="1"/>
    <col min="18" max="18" width="22.5703125" style="7" hidden="1" customWidth="1"/>
    <col min="19" max="19" width="11.7109375" style="7" hidden="1" customWidth="1"/>
    <col min="20" max="21" width="31" style="7" hidden="1" customWidth="1"/>
    <col min="22" max="22" width="47.7109375" style="7" hidden="1" customWidth="1"/>
    <col min="23" max="23" width="18" style="7" hidden="1" customWidth="1"/>
    <col min="24" max="24" width="33" style="7" hidden="1" customWidth="1"/>
    <col min="25" max="25" width="12.85546875" style="7" hidden="1" customWidth="1"/>
    <col min="26" max="26" width="15.7109375" style="7" hidden="1" customWidth="1"/>
    <col min="27" max="27" width="10.85546875" style="7" hidden="1" customWidth="1"/>
    <col min="28" max="28" width="7" style="7" customWidth="1"/>
    <col min="29" max="29" width="24.7109375" style="7" hidden="1" customWidth="1"/>
    <col min="30" max="30" width="11.7109375" style="7" hidden="1" customWidth="1"/>
    <col min="31" max="31" width="8.5703125" style="7" hidden="1" customWidth="1"/>
    <col min="32" max="32" width="11.7109375" style="7" hidden="1" customWidth="1"/>
    <col min="33" max="33" width="10.5703125" style="7" hidden="1" customWidth="1"/>
    <col min="34" max="34" width="9.42578125" style="7" bestFit="1" customWidth="1"/>
    <col min="35" max="259" width="8.85546875" style="7"/>
    <col min="260" max="260" width="5.28515625" style="7" customWidth="1"/>
    <col min="261" max="261" width="38.42578125" style="7" customWidth="1"/>
    <col min="262" max="262" width="12.42578125" style="7" customWidth="1"/>
    <col min="263" max="264" width="11.42578125" style="7" customWidth="1"/>
    <col min="265" max="265" width="12.42578125" style="7" bestFit="1" customWidth="1"/>
    <col min="266" max="266" width="11.5703125" style="7" customWidth="1"/>
    <col min="267" max="267" width="18.7109375" style="7" customWidth="1"/>
    <col min="268" max="271" width="8.5703125" style="7" customWidth="1"/>
    <col min="272" max="272" width="8.42578125" style="7" customWidth="1"/>
    <col min="273" max="273" width="7.42578125" style="7" customWidth="1"/>
    <col min="274" max="274" width="7" style="7" customWidth="1"/>
    <col min="275" max="275" width="7.42578125" style="7" customWidth="1"/>
    <col min="276" max="276" width="6.7109375" style="7" customWidth="1"/>
    <col min="277" max="279" width="6.42578125" style="7" customWidth="1"/>
    <col min="280" max="281" width="6.5703125" style="7" customWidth="1"/>
    <col min="282" max="282" width="6.7109375" style="7" customWidth="1"/>
    <col min="283" max="284" width="7" style="7" customWidth="1"/>
    <col min="285" max="285" width="7.42578125" style="7" customWidth="1"/>
    <col min="286" max="286" width="7.5703125" style="7" customWidth="1"/>
    <col min="287" max="287" width="8.5703125" style="7" customWidth="1"/>
    <col min="288" max="288" width="7.28515625" style="7" customWidth="1"/>
    <col min="289" max="289" width="10.5703125" style="7" customWidth="1"/>
    <col min="290" max="290" width="9.42578125" style="7" bestFit="1" customWidth="1"/>
    <col min="291" max="515" width="8.85546875" style="7"/>
    <col min="516" max="516" width="5.28515625" style="7" customWidth="1"/>
    <col min="517" max="517" width="38.42578125" style="7" customWidth="1"/>
    <col min="518" max="518" width="12.42578125" style="7" customWidth="1"/>
    <col min="519" max="520" width="11.42578125" style="7" customWidth="1"/>
    <col min="521" max="521" width="12.42578125" style="7" bestFit="1" customWidth="1"/>
    <col min="522" max="522" width="11.5703125" style="7" customWidth="1"/>
    <col min="523" max="523" width="18.7109375" style="7" customWidth="1"/>
    <col min="524" max="527" width="8.5703125" style="7" customWidth="1"/>
    <col min="528" max="528" width="8.42578125" style="7" customWidth="1"/>
    <col min="529" max="529" width="7.42578125" style="7" customWidth="1"/>
    <col min="530" max="530" width="7" style="7" customWidth="1"/>
    <col min="531" max="531" width="7.42578125" style="7" customWidth="1"/>
    <col min="532" max="532" width="6.7109375" style="7" customWidth="1"/>
    <col min="533" max="535" width="6.42578125" style="7" customWidth="1"/>
    <col min="536" max="537" width="6.5703125" style="7" customWidth="1"/>
    <col min="538" max="538" width="6.7109375" style="7" customWidth="1"/>
    <col min="539" max="540" width="7" style="7" customWidth="1"/>
    <col min="541" max="541" width="7.42578125" style="7" customWidth="1"/>
    <col min="542" max="542" width="7.5703125" style="7" customWidth="1"/>
    <col min="543" max="543" width="8.5703125" style="7" customWidth="1"/>
    <col min="544" max="544" width="7.28515625" style="7" customWidth="1"/>
    <col min="545" max="545" width="10.5703125" style="7" customWidth="1"/>
    <col min="546" max="546" width="9.42578125" style="7" bestFit="1" customWidth="1"/>
    <col min="547" max="771" width="8.85546875" style="7"/>
    <col min="772" max="772" width="5.28515625" style="7" customWidth="1"/>
    <col min="773" max="773" width="38.42578125" style="7" customWidth="1"/>
    <col min="774" max="774" width="12.42578125" style="7" customWidth="1"/>
    <col min="775" max="776" width="11.42578125" style="7" customWidth="1"/>
    <col min="777" max="777" width="12.42578125" style="7" bestFit="1" customWidth="1"/>
    <col min="778" max="778" width="11.5703125" style="7" customWidth="1"/>
    <col min="779" max="779" width="18.7109375" style="7" customWidth="1"/>
    <col min="780" max="783" width="8.5703125" style="7" customWidth="1"/>
    <col min="784" max="784" width="8.42578125" style="7" customWidth="1"/>
    <col min="785" max="785" width="7.42578125" style="7" customWidth="1"/>
    <col min="786" max="786" width="7" style="7" customWidth="1"/>
    <col min="787" max="787" width="7.42578125" style="7" customWidth="1"/>
    <col min="788" max="788" width="6.7109375" style="7" customWidth="1"/>
    <col min="789" max="791" width="6.42578125" style="7" customWidth="1"/>
    <col min="792" max="793" width="6.5703125" style="7" customWidth="1"/>
    <col min="794" max="794" width="6.7109375" style="7" customWidth="1"/>
    <col min="795" max="796" width="7" style="7" customWidth="1"/>
    <col min="797" max="797" width="7.42578125" style="7" customWidth="1"/>
    <col min="798" max="798" width="7.5703125" style="7" customWidth="1"/>
    <col min="799" max="799" width="8.5703125" style="7" customWidth="1"/>
    <col min="800" max="800" width="7.28515625" style="7" customWidth="1"/>
    <col min="801" max="801" width="10.5703125" style="7" customWidth="1"/>
    <col min="802" max="802" width="9.42578125" style="7" bestFit="1" customWidth="1"/>
    <col min="803" max="1027" width="8.85546875" style="7"/>
    <col min="1028" max="1028" width="5.28515625" style="7" customWidth="1"/>
    <col min="1029" max="1029" width="38.42578125" style="7" customWidth="1"/>
    <col min="1030" max="1030" width="12.42578125" style="7" customWidth="1"/>
    <col min="1031" max="1032" width="11.42578125" style="7" customWidth="1"/>
    <col min="1033" max="1033" width="12.42578125" style="7" bestFit="1" customWidth="1"/>
    <col min="1034" max="1034" width="11.5703125" style="7" customWidth="1"/>
    <col min="1035" max="1035" width="18.7109375" style="7" customWidth="1"/>
    <col min="1036" max="1039" width="8.5703125" style="7" customWidth="1"/>
    <col min="1040" max="1040" width="8.42578125" style="7" customWidth="1"/>
    <col min="1041" max="1041" width="7.42578125" style="7" customWidth="1"/>
    <col min="1042" max="1042" width="7" style="7" customWidth="1"/>
    <col min="1043" max="1043" width="7.42578125" style="7" customWidth="1"/>
    <col min="1044" max="1044" width="6.7109375" style="7" customWidth="1"/>
    <col min="1045" max="1047" width="6.42578125" style="7" customWidth="1"/>
    <col min="1048" max="1049" width="6.5703125" style="7" customWidth="1"/>
    <col min="1050" max="1050" width="6.7109375" style="7" customWidth="1"/>
    <col min="1051" max="1052" width="7" style="7" customWidth="1"/>
    <col min="1053" max="1053" width="7.42578125" style="7" customWidth="1"/>
    <col min="1054" max="1054" width="7.5703125" style="7" customWidth="1"/>
    <col min="1055" max="1055" width="8.5703125" style="7" customWidth="1"/>
    <col min="1056" max="1056" width="7.28515625" style="7" customWidth="1"/>
    <col min="1057" max="1057" width="10.5703125" style="7" customWidth="1"/>
    <col min="1058" max="1058" width="9.42578125" style="7" bestFit="1" customWidth="1"/>
    <col min="1059" max="1283" width="8.85546875" style="7"/>
    <col min="1284" max="1284" width="5.28515625" style="7" customWidth="1"/>
    <col min="1285" max="1285" width="38.42578125" style="7" customWidth="1"/>
    <col min="1286" max="1286" width="12.42578125" style="7" customWidth="1"/>
    <col min="1287" max="1288" width="11.42578125" style="7" customWidth="1"/>
    <col min="1289" max="1289" width="12.42578125" style="7" bestFit="1" customWidth="1"/>
    <col min="1290" max="1290" width="11.5703125" style="7" customWidth="1"/>
    <col min="1291" max="1291" width="18.7109375" style="7" customWidth="1"/>
    <col min="1292" max="1295" width="8.5703125" style="7" customWidth="1"/>
    <col min="1296" max="1296" width="8.42578125" style="7" customWidth="1"/>
    <col min="1297" max="1297" width="7.42578125" style="7" customWidth="1"/>
    <col min="1298" max="1298" width="7" style="7" customWidth="1"/>
    <col min="1299" max="1299" width="7.42578125" style="7" customWidth="1"/>
    <col min="1300" max="1300" width="6.7109375" style="7" customWidth="1"/>
    <col min="1301" max="1303" width="6.42578125" style="7" customWidth="1"/>
    <col min="1304" max="1305" width="6.5703125" style="7" customWidth="1"/>
    <col min="1306" max="1306" width="6.7109375" style="7" customWidth="1"/>
    <col min="1307" max="1308" width="7" style="7" customWidth="1"/>
    <col min="1309" max="1309" width="7.42578125" style="7" customWidth="1"/>
    <col min="1310" max="1310" width="7.5703125" style="7" customWidth="1"/>
    <col min="1311" max="1311" width="8.5703125" style="7" customWidth="1"/>
    <col min="1312" max="1312" width="7.28515625" style="7" customWidth="1"/>
    <col min="1313" max="1313" width="10.5703125" style="7" customWidth="1"/>
    <col min="1314" max="1314" width="9.42578125" style="7" bestFit="1" customWidth="1"/>
    <col min="1315" max="1539" width="8.85546875" style="7"/>
    <col min="1540" max="1540" width="5.28515625" style="7" customWidth="1"/>
    <col min="1541" max="1541" width="38.42578125" style="7" customWidth="1"/>
    <col min="1542" max="1542" width="12.42578125" style="7" customWidth="1"/>
    <col min="1543" max="1544" width="11.42578125" style="7" customWidth="1"/>
    <col min="1545" max="1545" width="12.42578125" style="7" bestFit="1" customWidth="1"/>
    <col min="1546" max="1546" width="11.5703125" style="7" customWidth="1"/>
    <col min="1547" max="1547" width="18.7109375" style="7" customWidth="1"/>
    <col min="1548" max="1551" width="8.5703125" style="7" customWidth="1"/>
    <col min="1552" max="1552" width="8.42578125" style="7" customWidth="1"/>
    <col min="1553" max="1553" width="7.42578125" style="7" customWidth="1"/>
    <col min="1554" max="1554" width="7" style="7" customWidth="1"/>
    <col min="1555" max="1555" width="7.42578125" style="7" customWidth="1"/>
    <col min="1556" max="1556" width="6.7109375" style="7" customWidth="1"/>
    <col min="1557" max="1559" width="6.42578125" style="7" customWidth="1"/>
    <col min="1560" max="1561" width="6.5703125" style="7" customWidth="1"/>
    <col min="1562" max="1562" width="6.7109375" style="7" customWidth="1"/>
    <col min="1563" max="1564" width="7" style="7" customWidth="1"/>
    <col min="1565" max="1565" width="7.42578125" style="7" customWidth="1"/>
    <col min="1566" max="1566" width="7.5703125" style="7" customWidth="1"/>
    <col min="1567" max="1567" width="8.5703125" style="7" customWidth="1"/>
    <col min="1568" max="1568" width="7.28515625" style="7" customWidth="1"/>
    <col min="1569" max="1569" width="10.5703125" style="7" customWidth="1"/>
    <col min="1570" max="1570" width="9.42578125" style="7" bestFit="1" customWidth="1"/>
    <col min="1571" max="1795" width="8.85546875" style="7"/>
    <col min="1796" max="1796" width="5.28515625" style="7" customWidth="1"/>
    <col min="1797" max="1797" width="38.42578125" style="7" customWidth="1"/>
    <col min="1798" max="1798" width="12.42578125" style="7" customWidth="1"/>
    <col min="1799" max="1800" width="11.42578125" style="7" customWidth="1"/>
    <col min="1801" max="1801" width="12.42578125" style="7" bestFit="1" customWidth="1"/>
    <col min="1802" max="1802" width="11.5703125" style="7" customWidth="1"/>
    <col min="1803" max="1803" width="18.7109375" style="7" customWidth="1"/>
    <col min="1804" max="1807" width="8.5703125" style="7" customWidth="1"/>
    <col min="1808" max="1808" width="8.42578125" style="7" customWidth="1"/>
    <col min="1809" max="1809" width="7.42578125" style="7" customWidth="1"/>
    <col min="1810" max="1810" width="7" style="7" customWidth="1"/>
    <col min="1811" max="1811" width="7.42578125" style="7" customWidth="1"/>
    <col min="1812" max="1812" width="6.7109375" style="7" customWidth="1"/>
    <col min="1813" max="1815" width="6.42578125" style="7" customWidth="1"/>
    <col min="1816" max="1817" width="6.5703125" style="7" customWidth="1"/>
    <col min="1818" max="1818" width="6.7109375" style="7" customWidth="1"/>
    <col min="1819" max="1820" width="7" style="7" customWidth="1"/>
    <col min="1821" max="1821" width="7.42578125" style="7" customWidth="1"/>
    <col min="1822" max="1822" width="7.5703125" style="7" customWidth="1"/>
    <col min="1823" max="1823" width="8.5703125" style="7" customWidth="1"/>
    <col min="1824" max="1824" width="7.28515625" style="7" customWidth="1"/>
    <col min="1825" max="1825" width="10.5703125" style="7" customWidth="1"/>
    <col min="1826" max="1826" width="9.42578125" style="7" bestFit="1" customWidth="1"/>
    <col min="1827" max="2051" width="8.85546875" style="7"/>
    <col min="2052" max="2052" width="5.28515625" style="7" customWidth="1"/>
    <col min="2053" max="2053" width="38.42578125" style="7" customWidth="1"/>
    <col min="2054" max="2054" width="12.42578125" style="7" customWidth="1"/>
    <col min="2055" max="2056" width="11.42578125" style="7" customWidth="1"/>
    <col min="2057" max="2057" width="12.42578125" style="7" bestFit="1" customWidth="1"/>
    <col min="2058" max="2058" width="11.5703125" style="7" customWidth="1"/>
    <col min="2059" max="2059" width="18.7109375" style="7" customWidth="1"/>
    <col min="2060" max="2063" width="8.5703125" style="7" customWidth="1"/>
    <col min="2064" max="2064" width="8.42578125" style="7" customWidth="1"/>
    <col min="2065" max="2065" width="7.42578125" style="7" customWidth="1"/>
    <col min="2066" max="2066" width="7" style="7" customWidth="1"/>
    <col min="2067" max="2067" width="7.42578125" style="7" customWidth="1"/>
    <col min="2068" max="2068" width="6.7109375" style="7" customWidth="1"/>
    <col min="2069" max="2071" width="6.42578125" style="7" customWidth="1"/>
    <col min="2072" max="2073" width="6.5703125" style="7" customWidth="1"/>
    <col min="2074" max="2074" width="6.7109375" style="7" customWidth="1"/>
    <col min="2075" max="2076" width="7" style="7" customWidth="1"/>
    <col min="2077" max="2077" width="7.42578125" style="7" customWidth="1"/>
    <col min="2078" max="2078" width="7.5703125" style="7" customWidth="1"/>
    <col min="2079" max="2079" width="8.5703125" style="7" customWidth="1"/>
    <col min="2080" max="2080" width="7.28515625" style="7" customWidth="1"/>
    <col min="2081" max="2081" width="10.5703125" style="7" customWidth="1"/>
    <col min="2082" max="2082" width="9.42578125" style="7" bestFit="1" customWidth="1"/>
    <col min="2083" max="2307" width="8.85546875" style="7"/>
    <col min="2308" max="2308" width="5.28515625" style="7" customWidth="1"/>
    <col min="2309" max="2309" width="38.42578125" style="7" customWidth="1"/>
    <col min="2310" max="2310" width="12.42578125" style="7" customWidth="1"/>
    <col min="2311" max="2312" width="11.42578125" style="7" customWidth="1"/>
    <col min="2313" max="2313" width="12.42578125" style="7" bestFit="1" customWidth="1"/>
    <col min="2314" max="2314" width="11.5703125" style="7" customWidth="1"/>
    <col min="2315" max="2315" width="18.7109375" style="7" customWidth="1"/>
    <col min="2316" max="2319" width="8.5703125" style="7" customWidth="1"/>
    <col min="2320" max="2320" width="8.42578125" style="7" customWidth="1"/>
    <col min="2321" max="2321" width="7.42578125" style="7" customWidth="1"/>
    <col min="2322" max="2322" width="7" style="7" customWidth="1"/>
    <col min="2323" max="2323" width="7.42578125" style="7" customWidth="1"/>
    <col min="2324" max="2324" width="6.7109375" style="7" customWidth="1"/>
    <col min="2325" max="2327" width="6.42578125" style="7" customWidth="1"/>
    <col min="2328" max="2329" width="6.5703125" style="7" customWidth="1"/>
    <col min="2330" max="2330" width="6.7109375" style="7" customWidth="1"/>
    <col min="2331" max="2332" width="7" style="7" customWidth="1"/>
    <col min="2333" max="2333" width="7.42578125" style="7" customWidth="1"/>
    <col min="2334" max="2334" width="7.5703125" style="7" customWidth="1"/>
    <col min="2335" max="2335" width="8.5703125" style="7" customWidth="1"/>
    <col min="2336" max="2336" width="7.28515625" style="7" customWidth="1"/>
    <col min="2337" max="2337" width="10.5703125" style="7" customWidth="1"/>
    <col min="2338" max="2338" width="9.42578125" style="7" bestFit="1" customWidth="1"/>
    <col min="2339" max="2563" width="8.85546875" style="7"/>
    <col min="2564" max="2564" width="5.28515625" style="7" customWidth="1"/>
    <col min="2565" max="2565" width="38.42578125" style="7" customWidth="1"/>
    <col min="2566" max="2566" width="12.42578125" style="7" customWidth="1"/>
    <col min="2567" max="2568" width="11.42578125" style="7" customWidth="1"/>
    <col min="2569" max="2569" width="12.42578125" style="7" bestFit="1" customWidth="1"/>
    <col min="2570" max="2570" width="11.5703125" style="7" customWidth="1"/>
    <col min="2571" max="2571" width="18.7109375" style="7" customWidth="1"/>
    <col min="2572" max="2575" width="8.5703125" style="7" customWidth="1"/>
    <col min="2576" max="2576" width="8.42578125" style="7" customWidth="1"/>
    <col min="2577" max="2577" width="7.42578125" style="7" customWidth="1"/>
    <col min="2578" max="2578" width="7" style="7" customWidth="1"/>
    <col min="2579" max="2579" width="7.42578125" style="7" customWidth="1"/>
    <col min="2580" max="2580" width="6.7109375" style="7" customWidth="1"/>
    <col min="2581" max="2583" width="6.42578125" style="7" customWidth="1"/>
    <col min="2584" max="2585" width="6.5703125" style="7" customWidth="1"/>
    <col min="2586" max="2586" width="6.7109375" style="7" customWidth="1"/>
    <col min="2587" max="2588" width="7" style="7" customWidth="1"/>
    <col min="2589" max="2589" width="7.42578125" style="7" customWidth="1"/>
    <col min="2590" max="2590" width="7.5703125" style="7" customWidth="1"/>
    <col min="2591" max="2591" width="8.5703125" style="7" customWidth="1"/>
    <col min="2592" max="2592" width="7.28515625" style="7" customWidth="1"/>
    <col min="2593" max="2593" width="10.5703125" style="7" customWidth="1"/>
    <col min="2594" max="2594" width="9.42578125" style="7" bestFit="1" customWidth="1"/>
    <col min="2595" max="2819" width="8.85546875" style="7"/>
    <col min="2820" max="2820" width="5.28515625" style="7" customWidth="1"/>
    <col min="2821" max="2821" width="38.42578125" style="7" customWidth="1"/>
    <col min="2822" max="2822" width="12.42578125" style="7" customWidth="1"/>
    <col min="2823" max="2824" width="11.42578125" style="7" customWidth="1"/>
    <col min="2825" max="2825" width="12.42578125" style="7" bestFit="1" customWidth="1"/>
    <col min="2826" max="2826" width="11.5703125" style="7" customWidth="1"/>
    <col min="2827" max="2827" width="18.7109375" style="7" customWidth="1"/>
    <col min="2828" max="2831" width="8.5703125" style="7" customWidth="1"/>
    <col min="2832" max="2832" width="8.42578125" style="7" customWidth="1"/>
    <col min="2833" max="2833" width="7.42578125" style="7" customWidth="1"/>
    <col min="2834" max="2834" width="7" style="7" customWidth="1"/>
    <col min="2835" max="2835" width="7.42578125" style="7" customWidth="1"/>
    <col min="2836" max="2836" width="6.7109375" style="7" customWidth="1"/>
    <col min="2837" max="2839" width="6.42578125" style="7" customWidth="1"/>
    <col min="2840" max="2841" width="6.5703125" style="7" customWidth="1"/>
    <col min="2842" max="2842" width="6.7109375" style="7" customWidth="1"/>
    <col min="2843" max="2844" width="7" style="7" customWidth="1"/>
    <col min="2845" max="2845" width="7.42578125" style="7" customWidth="1"/>
    <col min="2846" max="2846" width="7.5703125" style="7" customWidth="1"/>
    <col min="2847" max="2847" width="8.5703125" style="7" customWidth="1"/>
    <col min="2848" max="2848" width="7.28515625" style="7" customWidth="1"/>
    <col min="2849" max="2849" width="10.5703125" style="7" customWidth="1"/>
    <col min="2850" max="2850" width="9.42578125" style="7" bestFit="1" customWidth="1"/>
    <col min="2851" max="3075" width="8.85546875" style="7"/>
    <col min="3076" max="3076" width="5.28515625" style="7" customWidth="1"/>
    <col min="3077" max="3077" width="38.42578125" style="7" customWidth="1"/>
    <col min="3078" max="3078" width="12.42578125" style="7" customWidth="1"/>
    <col min="3079" max="3080" width="11.42578125" style="7" customWidth="1"/>
    <col min="3081" max="3081" width="12.42578125" style="7" bestFit="1" customWidth="1"/>
    <col min="3082" max="3082" width="11.5703125" style="7" customWidth="1"/>
    <col min="3083" max="3083" width="18.7109375" style="7" customWidth="1"/>
    <col min="3084" max="3087" width="8.5703125" style="7" customWidth="1"/>
    <col min="3088" max="3088" width="8.42578125" style="7" customWidth="1"/>
    <col min="3089" max="3089" width="7.42578125" style="7" customWidth="1"/>
    <col min="3090" max="3090" width="7" style="7" customWidth="1"/>
    <col min="3091" max="3091" width="7.42578125" style="7" customWidth="1"/>
    <col min="3092" max="3092" width="6.7109375" style="7" customWidth="1"/>
    <col min="3093" max="3095" width="6.42578125" style="7" customWidth="1"/>
    <col min="3096" max="3097" width="6.5703125" style="7" customWidth="1"/>
    <col min="3098" max="3098" width="6.7109375" style="7" customWidth="1"/>
    <col min="3099" max="3100" width="7" style="7" customWidth="1"/>
    <col min="3101" max="3101" width="7.42578125" style="7" customWidth="1"/>
    <col min="3102" max="3102" width="7.5703125" style="7" customWidth="1"/>
    <col min="3103" max="3103" width="8.5703125" style="7" customWidth="1"/>
    <col min="3104" max="3104" width="7.28515625" style="7" customWidth="1"/>
    <col min="3105" max="3105" width="10.5703125" style="7" customWidth="1"/>
    <col min="3106" max="3106" width="9.42578125" style="7" bestFit="1" customWidth="1"/>
    <col min="3107" max="3331" width="8.85546875" style="7"/>
    <col min="3332" max="3332" width="5.28515625" style="7" customWidth="1"/>
    <col min="3333" max="3333" width="38.42578125" style="7" customWidth="1"/>
    <col min="3334" max="3334" width="12.42578125" style="7" customWidth="1"/>
    <col min="3335" max="3336" width="11.42578125" style="7" customWidth="1"/>
    <col min="3337" max="3337" width="12.42578125" style="7" bestFit="1" customWidth="1"/>
    <col min="3338" max="3338" width="11.5703125" style="7" customWidth="1"/>
    <col min="3339" max="3339" width="18.7109375" style="7" customWidth="1"/>
    <col min="3340" max="3343" width="8.5703125" style="7" customWidth="1"/>
    <col min="3344" max="3344" width="8.42578125" style="7" customWidth="1"/>
    <col min="3345" max="3345" width="7.42578125" style="7" customWidth="1"/>
    <col min="3346" max="3346" width="7" style="7" customWidth="1"/>
    <col min="3347" max="3347" width="7.42578125" style="7" customWidth="1"/>
    <col min="3348" max="3348" width="6.7109375" style="7" customWidth="1"/>
    <col min="3349" max="3351" width="6.42578125" style="7" customWidth="1"/>
    <col min="3352" max="3353" width="6.5703125" style="7" customWidth="1"/>
    <col min="3354" max="3354" width="6.7109375" style="7" customWidth="1"/>
    <col min="3355" max="3356" width="7" style="7" customWidth="1"/>
    <col min="3357" max="3357" width="7.42578125" style="7" customWidth="1"/>
    <col min="3358" max="3358" width="7.5703125" style="7" customWidth="1"/>
    <col min="3359" max="3359" width="8.5703125" style="7" customWidth="1"/>
    <col min="3360" max="3360" width="7.28515625" style="7" customWidth="1"/>
    <col min="3361" max="3361" width="10.5703125" style="7" customWidth="1"/>
    <col min="3362" max="3362" width="9.42578125" style="7" bestFit="1" customWidth="1"/>
    <col min="3363" max="3587" width="8.85546875" style="7"/>
    <col min="3588" max="3588" width="5.28515625" style="7" customWidth="1"/>
    <col min="3589" max="3589" width="38.42578125" style="7" customWidth="1"/>
    <col min="3590" max="3590" width="12.42578125" style="7" customWidth="1"/>
    <col min="3591" max="3592" width="11.42578125" style="7" customWidth="1"/>
    <col min="3593" max="3593" width="12.42578125" style="7" bestFit="1" customWidth="1"/>
    <col min="3594" max="3594" width="11.5703125" style="7" customWidth="1"/>
    <col min="3595" max="3595" width="18.7109375" style="7" customWidth="1"/>
    <col min="3596" max="3599" width="8.5703125" style="7" customWidth="1"/>
    <col min="3600" max="3600" width="8.42578125" style="7" customWidth="1"/>
    <col min="3601" max="3601" width="7.42578125" style="7" customWidth="1"/>
    <col min="3602" max="3602" width="7" style="7" customWidth="1"/>
    <col min="3603" max="3603" width="7.42578125" style="7" customWidth="1"/>
    <col min="3604" max="3604" width="6.7109375" style="7" customWidth="1"/>
    <col min="3605" max="3607" width="6.42578125" style="7" customWidth="1"/>
    <col min="3608" max="3609" width="6.5703125" style="7" customWidth="1"/>
    <col min="3610" max="3610" width="6.7109375" style="7" customWidth="1"/>
    <col min="3611" max="3612" width="7" style="7" customWidth="1"/>
    <col min="3613" max="3613" width="7.42578125" style="7" customWidth="1"/>
    <col min="3614" max="3614" width="7.5703125" style="7" customWidth="1"/>
    <col min="3615" max="3615" width="8.5703125" style="7" customWidth="1"/>
    <col min="3616" max="3616" width="7.28515625" style="7" customWidth="1"/>
    <col min="3617" max="3617" width="10.5703125" style="7" customWidth="1"/>
    <col min="3618" max="3618" width="9.42578125" style="7" bestFit="1" customWidth="1"/>
    <col min="3619" max="3843" width="8.85546875" style="7"/>
    <col min="3844" max="3844" width="5.28515625" style="7" customWidth="1"/>
    <col min="3845" max="3845" width="38.42578125" style="7" customWidth="1"/>
    <col min="3846" max="3846" width="12.42578125" style="7" customWidth="1"/>
    <col min="3847" max="3848" width="11.42578125" style="7" customWidth="1"/>
    <col min="3849" max="3849" width="12.42578125" style="7" bestFit="1" customWidth="1"/>
    <col min="3850" max="3850" width="11.5703125" style="7" customWidth="1"/>
    <col min="3851" max="3851" width="18.7109375" style="7" customWidth="1"/>
    <col min="3852" max="3855" width="8.5703125" style="7" customWidth="1"/>
    <col min="3856" max="3856" width="8.42578125" style="7" customWidth="1"/>
    <col min="3857" max="3857" width="7.42578125" style="7" customWidth="1"/>
    <col min="3858" max="3858" width="7" style="7" customWidth="1"/>
    <col min="3859" max="3859" width="7.42578125" style="7" customWidth="1"/>
    <col min="3860" max="3860" width="6.7109375" style="7" customWidth="1"/>
    <col min="3861" max="3863" width="6.42578125" style="7" customWidth="1"/>
    <col min="3864" max="3865" width="6.5703125" style="7" customWidth="1"/>
    <col min="3866" max="3866" width="6.7109375" style="7" customWidth="1"/>
    <col min="3867" max="3868" width="7" style="7" customWidth="1"/>
    <col min="3869" max="3869" width="7.42578125" style="7" customWidth="1"/>
    <col min="3870" max="3870" width="7.5703125" style="7" customWidth="1"/>
    <col min="3871" max="3871" width="8.5703125" style="7" customWidth="1"/>
    <col min="3872" max="3872" width="7.28515625" style="7" customWidth="1"/>
    <col min="3873" max="3873" width="10.5703125" style="7" customWidth="1"/>
    <col min="3874" max="3874" width="9.42578125" style="7" bestFit="1" customWidth="1"/>
    <col min="3875" max="4099" width="8.85546875" style="7"/>
    <col min="4100" max="4100" width="5.28515625" style="7" customWidth="1"/>
    <col min="4101" max="4101" width="38.42578125" style="7" customWidth="1"/>
    <col min="4102" max="4102" width="12.42578125" style="7" customWidth="1"/>
    <col min="4103" max="4104" width="11.42578125" style="7" customWidth="1"/>
    <col min="4105" max="4105" width="12.42578125" style="7" bestFit="1" customWidth="1"/>
    <col min="4106" max="4106" width="11.5703125" style="7" customWidth="1"/>
    <col min="4107" max="4107" width="18.7109375" style="7" customWidth="1"/>
    <col min="4108" max="4111" width="8.5703125" style="7" customWidth="1"/>
    <col min="4112" max="4112" width="8.42578125" style="7" customWidth="1"/>
    <col min="4113" max="4113" width="7.42578125" style="7" customWidth="1"/>
    <col min="4114" max="4114" width="7" style="7" customWidth="1"/>
    <col min="4115" max="4115" width="7.42578125" style="7" customWidth="1"/>
    <col min="4116" max="4116" width="6.7109375" style="7" customWidth="1"/>
    <col min="4117" max="4119" width="6.42578125" style="7" customWidth="1"/>
    <col min="4120" max="4121" width="6.5703125" style="7" customWidth="1"/>
    <col min="4122" max="4122" width="6.7109375" style="7" customWidth="1"/>
    <col min="4123" max="4124" width="7" style="7" customWidth="1"/>
    <col min="4125" max="4125" width="7.42578125" style="7" customWidth="1"/>
    <col min="4126" max="4126" width="7.5703125" style="7" customWidth="1"/>
    <col min="4127" max="4127" width="8.5703125" style="7" customWidth="1"/>
    <col min="4128" max="4128" width="7.28515625" style="7" customWidth="1"/>
    <col min="4129" max="4129" width="10.5703125" style="7" customWidth="1"/>
    <col min="4130" max="4130" width="9.42578125" style="7" bestFit="1" customWidth="1"/>
    <col min="4131" max="4355" width="8.85546875" style="7"/>
    <col min="4356" max="4356" width="5.28515625" style="7" customWidth="1"/>
    <col min="4357" max="4357" width="38.42578125" style="7" customWidth="1"/>
    <col min="4358" max="4358" width="12.42578125" style="7" customWidth="1"/>
    <col min="4359" max="4360" width="11.42578125" style="7" customWidth="1"/>
    <col min="4361" max="4361" width="12.42578125" style="7" bestFit="1" customWidth="1"/>
    <col min="4362" max="4362" width="11.5703125" style="7" customWidth="1"/>
    <col min="4363" max="4363" width="18.7109375" style="7" customWidth="1"/>
    <col min="4364" max="4367" width="8.5703125" style="7" customWidth="1"/>
    <col min="4368" max="4368" width="8.42578125" style="7" customWidth="1"/>
    <col min="4369" max="4369" width="7.42578125" style="7" customWidth="1"/>
    <col min="4370" max="4370" width="7" style="7" customWidth="1"/>
    <col min="4371" max="4371" width="7.42578125" style="7" customWidth="1"/>
    <col min="4372" max="4372" width="6.7109375" style="7" customWidth="1"/>
    <col min="4373" max="4375" width="6.42578125" style="7" customWidth="1"/>
    <col min="4376" max="4377" width="6.5703125" style="7" customWidth="1"/>
    <col min="4378" max="4378" width="6.7109375" style="7" customWidth="1"/>
    <col min="4379" max="4380" width="7" style="7" customWidth="1"/>
    <col min="4381" max="4381" width="7.42578125" style="7" customWidth="1"/>
    <col min="4382" max="4382" width="7.5703125" style="7" customWidth="1"/>
    <col min="4383" max="4383" width="8.5703125" style="7" customWidth="1"/>
    <col min="4384" max="4384" width="7.28515625" style="7" customWidth="1"/>
    <col min="4385" max="4385" width="10.5703125" style="7" customWidth="1"/>
    <col min="4386" max="4386" width="9.42578125" style="7" bestFit="1" customWidth="1"/>
    <col min="4387" max="4611" width="8.85546875" style="7"/>
    <col min="4612" max="4612" width="5.28515625" style="7" customWidth="1"/>
    <col min="4613" max="4613" width="38.42578125" style="7" customWidth="1"/>
    <col min="4614" max="4614" width="12.42578125" style="7" customWidth="1"/>
    <col min="4615" max="4616" width="11.42578125" style="7" customWidth="1"/>
    <col min="4617" max="4617" width="12.42578125" style="7" bestFit="1" customWidth="1"/>
    <col min="4618" max="4618" width="11.5703125" style="7" customWidth="1"/>
    <col min="4619" max="4619" width="18.7109375" style="7" customWidth="1"/>
    <col min="4620" max="4623" width="8.5703125" style="7" customWidth="1"/>
    <col min="4624" max="4624" width="8.42578125" style="7" customWidth="1"/>
    <col min="4625" max="4625" width="7.42578125" style="7" customWidth="1"/>
    <col min="4626" max="4626" width="7" style="7" customWidth="1"/>
    <col min="4627" max="4627" width="7.42578125" style="7" customWidth="1"/>
    <col min="4628" max="4628" width="6.7109375" style="7" customWidth="1"/>
    <col min="4629" max="4631" width="6.42578125" style="7" customWidth="1"/>
    <col min="4632" max="4633" width="6.5703125" style="7" customWidth="1"/>
    <col min="4634" max="4634" width="6.7109375" style="7" customWidth="1"/>
    <col min="4635" max="4636" width="7" style="7" customWidth="1"/>
    <col min="4637" max="4637" width="7.42578125" style="7" customWidth="1"/>
    <col min="4638" max="4638" width="7.5703125" style="7" customWidth="1"/>
    <col min="4639" max="4639" width="8.5703125" style="7" customWidth="1"/>
    <col min="4640" max="4640" width="7.28515625" style="7" customWidth="1"/>
    <col min="4641" max="4641" width="10.5703125" style="7" customWidth="1"/>
    <col min="4642" max="4642" width="9.42578125" style="7" bestFit="1" customWidth="1"/>
    <col min="4643" max="4867" width="8.85546875" style="7"/>
    <col min="4868" max="4868" width="5.28515625" style="7" customWidth="1"/>
    <col min="4869" max="4869" width="38.42578125" style="7" customWidth="1"/>
    <col min="4870" max="4870" width="12.42578125" style="7" customWidth="1"/>
    <col min="4871" max="4872" width="11.42578125" style="7" customWidth="1"/>
    <col min="4873" max="4873" width="12.42578125" style="7" bestFit="1" customWidth="1"/>
    <col min="4874" max="4874" width="11.5703125" style="7" customWidth="1"/>
    <col min="4875" max="4875" width="18.7109375" style="7" customWidth="1"/>
    <col min="4876" max="4879" width="8.5703125" style="7" customWidth="1"/>
    <col min="4880" max="4880" width="8.42578125" style="7" customWidth="1"/>
    <col min="4881" max="4881" width="7.42578125" style="7" customWidth="1"/>
    <col min="4882" max="4882" width="7" style="7" customWidth="1"/>
    <col min="4883" max="4883" width="7.42578125" style="7" customWidth="1"/>
    <col min="4884" max="4884" width="6.7109375" style="7" customWidth="1"/>
    <col min="4885" max="4887" width="6.42578125" style="7" customWidth="1"/>
    <col min="4888" max="4889" width="6.5703125" style="7" customWidth="1"/>
    <col min="4890" max="4890" width="6.7109375" style="7" customWidth="1"/>
    <col min="4891" max="4892" width="7" style="7" customWidth="1"/>
    <col min="4893" max="4893" width="7.42578125" style="7" customWidth="1"/>
    <col min="4894" max="4894" width="7.5703125" style="7" customWidth="1"/>
    <col min="4895" max="4895" width="8.5703125" style="7" customWidth="1"/>
    <col min="4896" max="4896" width="7.28515625" style="7" customWidth="1"/>
    <col min="4897" max="4897" width="10.5703125" style="7" customWidth="1"/>
    <col min="4898" max="4898" width="9.42578125" style="7" bestFit="1" customWidth="1"/>
    <col min="4899" max="5123" width="8.85546875" style="7"/>
    <col min="5124" max="5124" width="5.28515625" style="7" customWidth="1"/>
    <col min="5125" max="5125" width="38.42578125" style="7" customWidth="1"/>
    <col min="5126" max="5126" width="12.42578125" style="7" customWidth="1"/>
    <col min="5127" max="5128" width="11.42578125" style="7" customWidth="1"/>
    <col min="5129" max="5129" width="12.42578125" style="7" bestFit="1" customWidth="1"/>
    <col min="5130" max="5130" width="11.5703125" style="7" customWidth="1"/>
    <col min="5131" max="5131" width="18.7109375" style="7" customWidth="1"/>
    <col min="5132" max="5135" width="8.5703125" style="7" customWidth="1"/>
    <col min="5136" max="5136" width="8.42578125" style="7" customWidth="1"/>
    <col min="5137" max="5137" width="7.42578125" style="7" customWidth="1"/>
    <col min="5138" max="5138" width="7" style="7" customWidth="1"/>
    <col min="5139" max="5139" width="7.42578125" style="7" customWidth="1"/>
    <col min="5140" max="5140" width="6.7109375" style="7" customWidth="1"/>
    <col min="5141" max="5143" width="6.42578125" style="7" customWidth="1"/>
    <col min="5144" max="5145" width="6.5703125" style="7" customWidth="1"/>
    <col min="5146" max="5146" width="6.7109375" style="7" customWidth="1"/>
    <col min="5147" max="5148" width="7" style="7" customWidth="1"/>
    <col min="5149" max="5149" width="7.42578125" style="7" customWidth="1"/>
    <col min="5150" max="5150" width="7.5703125" style="7" customWidth="1"/>
    <col min="5151" max="5151" width="8.5703125" style="7" customWidth="1"/>
    <col min="5152" max="5152" width="7.28515625" style="7" customWidth="1"/>
    <col min="5153" max="5153" width="10.5703125" style="7" customWidth="1"/>
    <col min="5154" max="5154" width="9.42578125" style="7" bestFit="1" customWidth="1"/>
    <col min="5155" max="5379" width="8.85546875" style="7"/>
    <col min="5380" max="5380" width="5.28515625" style="7" customWidth="1"/>
    <col min="5381" max="5381" width="38.42578125" style="7" customWidth="1"/>
    <col min="5382" max="5382" width="12.42578125" style="7" customWidth="1"/>
    <col min="5383" max="5384" width="11.42578125" style="7" customWidth="1"/>
    <col min="5385" max="5385" width="12.42578125" style="7" bestFit="1" customWidth="1"/>
    <col min="5386" max="5386" width="11.5703125" style="7" customWidth="1"/>
    <col min="5387" max="5387" width="18.7109375" style="7" customWidth="1"/>
    <col min="5388" max="5391" width="8.5703125" style="7" customWidth="1"/>
    <col min="5392" max="5392" width="8.42578125" style="7" customWidth="1"/>
    <col min="5393" max="5393" width="7.42578125" style="7" customWidth="1"/>
    <col min="5394" max="5394" width="7" style="7" customWidth="1"/>
    <col min="5395" max="5395" width="7.42578125" style="7" customWidth="1"/>
    <col min="5396" max="5396" width="6.7109375" style="7" customWidth="1"/>
    <col min="5397" max="5399" width="6.42578125" style="7" customWidth="1"/>
    <col min="5400" max="5401" width="6.5703125" style="7" customWidth="1"/>
    <col min="5402" max="5402" width="6.7109375" style="7" customWidth="1"/>
    <col min="5403" max="5404" width="7" style="7" customWidth="1"/>
    <col min="5405" max="5405" width="7.42578125" style="7" customWidth="1"/>
    <col min="5406" max="5406" width="7.5703125" style="7" customWidth="1"/>
    <col min="5407" max="5407" width="8.5703125" style="7" customWidth="1"/>
    <col min="5408" max="5408" width="7.28515625" style="7" customWidth="1"/>
    <col min="5409" max="5409" width="10.5703125" style="7" customWidth="1"/>
    <col min="5410" max="5410" width="9.42578125" style="7" bestFit="1" customWidth="1"/>
    <col min="5411" max="5635" width="8.85546875" style="7"/>
    <col min="5636" max="5636" width="5.28515625" style="7" customWidth="1"/>
    <col min="5637" max="5637" width="38.42578125" style="7" customWidth="1"/>
    <col min="5638" max="5638" width="12.42578125" style="7" customWidth="1"/>
    <col min="5639" max="5640" width="11.42578125" style="7" customWidth="1"/>
    <col min="5641" max="5641" width="12.42578125" style="7" bestFit="1" customWidth="1"/>
    <col min="5642" max="5642" width="11.5703125" style="7" customWidth="1"/>
    <col min="5643" max="5643" width="18.7109375" style="7" customWidth="1"/>
    <col min="5644" max="5647" width="8.5703125" style="7" customWidth="1"/>
    <col min="5648" max="5648" width="8.42578125" style="7" customWidth="1"/>
    <col min="5649" max="5649" width="7.42578125" style="7" customWidth="1"/>
    <col min="5650" max="5650" width="7" style="7" customWidth="1"/>
    <col min="5651" max="5651" width="7.42578125" style="7" customWidth="1"/>
    <col min="5652" max="5652" width="6.7109375" style="7" customWidth="1"/>
    <col min="5653" max="5655" width="6.42578125" style="7" customWidth="1"/>
    <col min="5656" max="5657" width="6.5703125" style="7" customWidth="1"/>
    <col min="5658" max="5658" width="6.7109375" style="7" customWidth="1"/>
    <col min="5659" max="5660" width="7" style="7" customWidth="1"/>
    <col min="5661" max="5661" width="7.42578125" style="7" customWidth="1"/>
    <col min="5662" max="5662" width="7.5703125" style="7" customWidth="1"/>
    <col min="5663" max="5663" width="8.5703125" style="7" customWidth="1"/>
    <col min="5664" max="5664" width="7.28515625" style="7" customWidth="1"/>
    <col min="5665" max="5665" width="10.5703125" style="7" customWidth="1"/>
    <col min="5666" max="5666" width="9.42578125" style="7" bestFit="1" customWidth="1"/>
    <col min="5667" max="5891" width="8.85546875" style="7"/>
    <col min="5892" max="5892" width="5.28515625" style="7" customWidth="1"/>
    <col min="5893" max="5893" width="38.42578125" style="7" customWidth="1"/>
    <col min="5894" max="5894" width="12.42578125" style="7" customWidth="1"/>
    <col min="5895" max="5896" width="11.42578125" style="7" customWidth="1"/>
    <col min="5897" max="5897" width="12.42578125" style="7" bestFit="1" customWidth="1"/>
    <col min="5898" max="5898" width="11.5703125" style="7" customWidth="1"/>
    <col min="5899" max="5899" width="18.7109375" style="7" customWidth="1"/>
    <col min="5900" max="5903" width="8.5703125" style="7" customWidth="1"/>
    <col min="5904" max="5904" width="8.42578125" style="7" customWidth="1"/>
    <col min="5905" max="5905" width="7.42578125" style="7" customWidth="1"/>
    <col min="5906" max="5906" width="7" style="7" customWidth="1"/>
    <col min="5907" max="5907" width="7.42578125" style="7" customWidth="1"/>
    <col min="5908" max="5908" width="6.7109375" style="7" customWidth="1"/>
    <col min="5909" max="5911" width="6.42578125" style="7" customWidth="1"/>
    <col min="5912" max="5913" width="6.5703125" style="7" customWidth="1"/>
    <col min="5914" max="5914" width="6.7109375" style="7" customWidth="1"/>
    <col min="5915" max="5916" width="7" style="7" customWidth="1"/>
    <col min="5917" max="5917" width="7.42578125" style="7" customWidth="1"/>
    <col min="5918" max="5918" width="7.5703125" style="7" customWidth="1"/>
    <col min="5919" max="5919" width="8.5703125" style="7" customWidth="1"/>
    <col min="5920" max="5920" width="7.28515625" style="7" customWidth="1"/>
    <col min="5921" max="5921" width="10.5703125" style="7" customWidth="1"/>
    <col min="5922" max="5922" width="9.42578125" style="7" bestFit="1" customWidth="1"/>
    <col min="5923" max="6147" width="8.85546875" style="7"/>
    <col min="6148" max="6148" width="5.28515625" style="7" customWidth="1"/>
    <col min="6149" max="6149" width="38.42578125" style="7" customWidth="1"/>
    <col min="6150" max="6150" width="12.42578125" style="7" customWidth="1"/>
    <col min="6151" max="6152" width="11.42578125" style="7" customWidth="1"/>
    <col min="6153" max="6153" width="12.42578125" style="7" bestFit="1" customWidth="1"/>
    <col min="6154" max="6154" width="11.5703125" style="7" customWidth="1"/>
    <col min="6155" max="6155" width="18.7109375" style="7" customWidth="1"/>
    <col min="6156" max="6159" width="8.5703125" style="7" customWidth="1"/>
    <col min="6160" max="6160" width="8.42578125" style="7" customWidth="1"/>
    <col min="6161" max="6161" width="7.42578125" style="7" customWidth="1"/>
    <col min="6162" max="6162" width="7" style="7" customWidth="1"/>
    <col min="6163" max="6163" width="7.42578125" style="7" customWidth="1"/>
    <col min="6164" max="6164" width="6.7109375" style="7" customWidth="1"/>
    <col min="6165" max="6167" width="6.42578125" style="7" customWidth="1"/>
    <col min="6168" max="6169" width="6.5703125" style="7" customWidth="1"/>
    <col min="6170" max="6170" width="6.7109375" style="7" customWidth="1"/>
    <col min="6171" max="6172" width="7" style="7" customWidth="1"/>
    <col min="6173" max="6173" width="7.42578125" style="7" customWidth="1"/>
    <col min="6174" max="6174" width="7.5703125" style="7" customWidth="1"/>
    <col min="6175" max="6175" width="8.5703125" style="7" customWidth="1"/>
    <col min="6176" max="6176" width="7.28515625" style="7" customWidth="1"/>
    <col min="6177" max="6177" width="10.5703125" style="7" customWidth="1"/>
    <col min="6178" max="6178" width="9.42578125" style="7" bestFit="1" customWidth="1"/>
    <col min="6179" max="6403" width="8.85546875" style="7"/>
    <col min="6404" max="6404" width="5.28515625" style="7" customWidth="1"/>
    <col min="6405" max="6405" width="38.42578125" style="7" customWidth="1"/>
    <col min="6406" max="6406" width="12.42578125" style="7" customWidth="1"/>
    <col min="6407" max="6408" width="11.42578125" style="7" customWidth="1"/>
    <col min="6409" max="6409" width="12.42578125" style="7" bestFit="1" customWidth="1"/>
    <col min="6410" max="6410" width="11.5703125" style="7" customWidth="1"/>
    <col min="6411" max="6411" width="18.7109375" style="7" customWidth="1"/>
    <col min="6412" max="6415" width="8.5703125" style="7" customWidth="1"/>
    <col min="6416" max="6416" width="8.42578125" style="7" customWidth="1"/>
    <col min="6417" max="6417" width="7.42578125" style="7" customWidth="1"/>
    <col min="6418" max="6418" width="7" style="7" customWidth="1"/>
    <col min="6419" max="6419" width="7.42578125" style="7" customWidth="1"/>
    <col min="6420" max="6420" width="6.7109375" style="7" customWidth="1"/>
    <col min="6421" max="6423" width="6.42578125" style="7" customWidth="1"/>
    <col min="6424" max="6425" width="6.5703125" style="7" customWidth="1"/>
    <col min="6426" max="6426" width="6.7109375" style="7" customWidth="1"/>
    <col min="6427" max="6428" width="7" style="7" customWidth="1"/>
    <col min="6429" max="6429" width="7.42578125" style="7" customWidth="1"/>
    <col min="6430" max="6430" width="7.5703125" style="7" customWidth="1"/>
    <col min="6431" max="6431" width="8.5703125" style="7" customWidth="1"/>
    <col min="6432" max="6432" width="7.28515625" style="7" customWidth="1"/>
    <col min="6433" max="6433" width="10.5703125" style="7" customWidth="1"/>
    <col min="6434" max="6434" width="9.42578125" style="7" bestFit="1" customWidth="1"/>
    <col min="6435" max="6659" width="8.85546875" style="7"/>
    <col min="6660" max="6660" width="5.28515625" style="7" customWidth="1"/>
    <col min="6661" max="6661" width="38.42578125" style="7" customWidth="1"/>
    <col min="6662" max="6662" width="12.42578125" style="7" customWidth="1"/>
    <col min="6663" max="6664" width="11.42578125" style="7" customWidth="1"/>
    <col min="6665" max="6665" width="12.42578125" style="7" bestFit="1" customWidth="1"/>
    <col min="6666" max="6666" width="11.5703125" style="7" customWidth="1"/>
    <col min="6667" max="6667" width="18.7109375" style="7" customWidth="1"/>
    <col min="6668" max="6671" width="8.5703125" style="7" customWidth="1"/>
    <col min="6672" max="6672" width="8.42578125" style="7" customWidth="1"/>
    <col min="6673" max="6673" width="7.42578125" style="7" customWidth="1"/>
    <col min="6674" max="6674" width="7" style="7" customWidth="1"/>
    <col min="6675" max="6675" width="7.42578125" style="7" customWidth="1"/>
    <col min="6676" max="6676" width="6.7109375" style="7" customWidth="1"/>
    <col min="6677" max="6679" width="6.42578125" style="7" customWidth="1"/>
    <col min="6680" max="6681" width="6.5703125" style="7" customWidth="1"/>
    <col min="6682" max="6682" width="6.7109375" style="7" customWidth="1"/>
    <col min="6683" max="6684" width="7" style="7" customWidth="1"/>
    <col min="6685" max="6685" width="7.42578125" style="7" customWidth="1"/>
    <col min="6686" max="6686" width="7.5703125" style="7" customWidth="1"/>
    <col min="6687" max="6687" width="8.5703125" style="7" customWidth="1"/>
    <col min="6688" max="6688" width="7.28515625" style="7" customWidth="1"/>
    <col min="6689" max="6689" width="10.5703125" style="7" customWidth="1"/>
    <col min="6690" max="6690" width="9.42578125" style="7" bestFit="1" customWidth="1"/>
    <col min="6691" max="6915" width="8.85546875" style="7"/>
    <col min="6916" max="6916" width="5.28515625" style="7" customWidth="1"/>
    <col min="6917" max="6917" width="38.42578125" style="7" customWidth="1"/>
    <col min="6918" max="6918" width="12.42578125" style="7" customWidth="1"/>
    <col min="6919" max="6920" width="11.42578125" style="7" customWidth="1"/>
    <col min="6921" max="6921" width="12.42578125" style="7" bestFit="1" customWidth="1"/>
    <col min="6922" max="6922" width="11.5703125" style="7" customWidth="1"/>
    <col min="6923" max="6923" width="18.7109375" style="7" customWidth="1"/>
    <col min="6924" max="6927" width="8.5703125" style="7" customWidth="1"/>
    <col min="6928" max="6928" width="8.42578125" style="7" customWidth="1"/>
    <col min="6929" max="6929" width="7.42578125" style="7" customWidth="1"/>
    <col min="6930" max="6930" width="7" style="7" customWidth="1"/>
    <col min="6931" max="6931" width="7.42578125" style="7" customWidth="1"/>
    <col min="6932" max="6932" width="6.7109375" style="7" customWidth="1"/>
    <col min="6933" max="6935" width="6.42578125" style="7" customWidth="1"/>
    <col min="6936" max="6937" width="6.5703125" style="7" customWidth="1"/>
    <col min="6938" max="6938" width="6.7109375" style="7" customWidth="1"/>
    <col min="6939" max="6940" width="7" style="7" customWidth="1"/>
    <col min="6941" max="6941" width="7.42578125" style="7" customWidth="1"/>
    <col min="6942" max="6942" width="7.5703125" style="7" customWidth="1"/>
    <col min="6943" max="6943" width="8.5703125" style="7" customWidth="1"/>
    <col min="6944" max="6944" width="7.28515625" style="7" customWidth="1"/>
    <col min="6945" max="6945" width="10.5703125" style="7" customWidth="1"/>
    <col min="6946" max="6946" width="9.42578125" style="7" bestFit="1" customWidth="1"/>
    <col min="6947" max="7171" width="8.85546875" style="7"/>
    <col min="7172" max="7172" width="5.28515625" style="7" customWidth="1"/>
    <col min="7173" max="7173" width="38.42578125" style="7" customWidth="1"/>
    <col min="7174" max="7174" width="12.42578125" style="7" customWidth="1"/>
    <col min="7175" max="7176" width="11.42578125" style="7" customWidth="1"/>
    <col min="7177" max="7177" width="12.42578125" style="7" bestFit="1" customWidth="1"/>
    <col min="7178" max="7178" width="11.5703125" style="7" customWidth="1"/>
    <col min="7179" max="7179" width="18.7109375" style="7" customWidth="1"/>
    <col min="7180" max="7183" width="8.5703125" style="7" customWidth="1"/>
    <col min="7184" max="7184" width="8.42578125" style="7" customWidth="1"/>
    <col min="7185" max="7185" width="7.42578125" style="7" customWidth="1"/>
    <col min="7186" max="7186" width="7" style="7" customWidth="1"/>
    <col min="7187" max="7187" width="7.42578125" style="7" customWidth="1"/>
    <col min="7188" max="7188" width="6.7109375" style="7" customWidth="1"/>
    <col min="7189" max="7191" width="6.42578125" style="7" customWidth="1"/>
    <col min="7192" max="7193" width="6.5703125" style="7" customWidth="1"/>
    <col min="7194" max="7194" width="6.7109375" style="7" customWidth="1"/>
    <col min="7195" max="7196" width="7" style="7" customWidth="1"/>
    <col min="7197" max="7197" width="7.42578125" style="7" customWidth="1"/>
    <col min="7198" max="7198" width="7.5703125" style="7" customWidth="1"/>
    <col min="7199" max="7199" width="8.5703125" style="7" customWidth="1"/>
    <col min="7200" max="7200" width="7.28515625" style="7" customWidth="1"/>
    <col min="7201" max="7201" width="10.5703125" style="7" customWidth="1"/>
    <col min="7202" max="7202" width="9.42578125" style="7" bestFit="1" customWidth="1"/>
    <col min="7203" max="7427" width="8.85546875" style="7"/>
    <col min="7428" max="7428" width="5.28515625" style="7" customWidth="1"/>
    <col min="7429" max="7429" width="38.42578125" style="7" customWidth="1"/>
    <col min="7430" max="7430" width="12.42578125" style="7" customWidth="1"/>
    <col min="7431" max="7432" width="11.42578125" style="7" customWidth="1"/>
    <col min="7433" max="7433" width="12.42578125" style="7" bestFit="1" customWidth="1"/>
    <col min="7434" max="7434" width="11.5703125" style="7" customWidth="1"/>
    <col min="7435" max="7435" width="18.7109375" style="7" customWidth="1"/>
    <col min="7436" max="7439" width="8.5703125" style="7" customWidth="1"/>
    <col min="7440" max="7440" width="8.42578125" style="7" customWidth="1"/>
    <col min="7441" max="7441" width="7.42578125" style="7" customWidth="1"/>
    <col min="7442" max="7442" width="7" style="7" customWidth="1"/>
    <col min="7443" max="7443" width="7.42578125" style="7" customWidth="1"/>
    <col min="7444" max="7444" width="6.7109375" style="7" customWidth="1"/>
    <col min="7445" max="7447" width="6.42578125" style="7" customWidth="1"/>
    <col min="7448" max="7449" width="6.5703125" style="7" customWidth="1"/>
    <col min="7450" max="7450" width="6.7109375" style="7" customWidth="1"/>
    <col min="7451" max="7452" width="7" style="7" customWidth="1"/>
    <col min="7453" max="7453" width="7.42578125" style="7" customWidth="1"/>
    <col min="7454" max="7454" width="7.5703125" style="7" customWidth="1"/>
    <col min="7455" max="7455" width="8.5703125" style="7" customWidth="1"/>
    <col min="7456" max="7456" width="7.28515625" style="7" customWidth="1"/>
    <col min="7457" max="7457" width="10.5703125" style="7" customWidth="1"/>
    <col min="7458" max="7458" width="9.42578125" style="7" bestFit="1" customWidth="1"/>
    <col min="7459" max="7683" width="8.85546875" style="7"/>
    <col min="7684" max="7684" width="5.28515625" style="7" customWidth="1"/>
    <col min="7685" max="7685" width="38.42578125" style="7" customWidth="1"/>
    <col min="7686" max="7686" width="12.42578125" style="7" customWidth="1"/>
    <col min="7687" max="7688" width="11.42578125" style="7" customWidth="1"/>
    <col min="7689" max="7689" width="12.42578125" style="7" bestFit="1" customWidth="1"/>
    <col min="7690" max="7690" width="11.5703125" style="7" customWidth="1"/>
    <col min="7691" max="7691" width="18.7109375" style="7" customWidth="1"/>
    <col min="7692" max="7695" width="8.5703125" style="7" customWidth="1"/>
    <col min="7696" max="7696" width="8.42578125" style="7" customWidth="1"/>
    <col min="7697" max="7697" width="7.42578125" style="7" customWidth="1"/>
    <col min="7698" max="7698" width="7" style="7" customWidth="1"/>
    <col min="7699" max="7699" width="7.42578125" style="7" customWidth="1"/>
    <col min="7700" max="7700" width="6.7109375" style="7" customWidth="1"/>
    <col min="7701" max="7703" width="6.42578125" style="7" customWidth="1"/>
    <col min="7704" max="7705" width="6.5703125" style="7" customWidth="1"/>
    <col min="7706" max="7706" width="6.7109375" style="7" customWidth="1"/>
    <col min="7707" max="7708" width="7" style="7" customWidth="1"/>
    <col min="7709" max="7709" width="7.42578125" style="7" customWidth="1"/>
    <col min="7710" max="7710" width="7.5703125" style="7" customWidth="1"/>
    <col min="7711" max="7711" width="8.5703125" style="7" customWidth="1"/>
    <col min="7712" max="7712" width="7.28515625" style="7" customWidth="1"/>
    <col min="7713" max="7713" width="10.5703125" style="7" customWidth="1"/>
    <col min="7714" max="7714" width="9.42578125" style="7" bestFit="1" customWidth="1"/>
    <col min="7715" max="7939" width="8.85546875" style="7"/>
    <col min="7940" max="7940" width="5.28515625" style="7" customWidth="1"/>
    <col min="7941" max="7941" width="38.42578125" style="7" customWidth="1"/>
    <col min="7942" max="7942" width="12.42578125" style="7" customWidth="1"/>
    <col min="7943" max="7944" width="11.42578125" style="7" customWidth="1"/>
    <col min="7945" max="7945" width="12.42578125" style="7" bestFit="1" customWidth="1"/>
    <col min="7946" max="7946" width="11.5703125" style="7" customWidth="1"/>
    <col min="7947" max="7947" width="18.7109375" style="7" customWidth="1"/>
    <col min="7948" max="7951" width="8.5703125" style="7" customWidth="1"/>
    <col min="7952" max="7952" width="8.42578125" style="7" customWidth="1"/>
    <col min="7953" max="7953" width="7.42578125" style="7" customWidth="1"/>
    <col min="7954" max="7954" width="7" style="7" customWidth="1"/>
    <col min="7955" max="7955" width="7.42578125" style="7" customWidth="1"/>
    <col min="7956" max="7956" width="6.7109375" style="7" customWidth="1"/>
    <col min="7957" max="7959" width="6.42578125" style="7" customWidth="1"/>
    <col min="7960" max="7961" width="6.5703125" style="7" customWidth="1"/>
    <col min="7962" max="7962" width="6.7109375" style="7" customWidth="1"/>
    <col min="7963" max="7964" width="7" style="7" customWidth="1"/>
    <col min="7965" max="7965" width="7.42578125" style="7" customWidth="1"/>
    <col min="7966" max="7966" width="7.5703125" style="7" customWidth="1"/>
    <col min="7967" max="7967" width="8.5703125" style="7" customWidth="1"/>
    <col min="7968" max="7968" width="7.28515625" style="7" customWidth="1"/>
    <col min="7969" max="7969" width="10.5703125" style="7" customWidth="1"/>
    <col min="7970" max="7970" width="9.42578125" style="7" bestFit="1" customWidth="1"/>
    <col min="7971" max="8195" width="8.85546875" style="7"/>
    <col min="8196" max="8196" width="5.28515625" style="7" customWidth="1"/>
    <col min="8197" max="8197" width="38.42578125" style="7" customWidth="1"/>
    <col min="8198" max="8198" width="12.42578125" style="7" customWidth="1"/>
    <col min="8199" max="8200" width="11.42578125" style="7" customWidth="1"/>
    <col min="8201" max="8201" width="12.42578125" style="7" bestFit="1" customWidth="1"/>
    <col min="8202" max="8202" width="11.5703125" style="7" customWidth="1"/>
    <col min="8203" max="8203" width="18.7109375" style="7" customWidth="1"/>
    <col min="8204" max="8207" width="8.5703125" style="7" customWidth="1"/>
    <col min="8208" max="8208" width="8.42578125" style="7" customWidth="1"/>
    <col min="8209" max="8209" width="7.42578125" style="7" customWidth="1"/>
    <col min="8210" max="8210" width="7" style="7" customWidth="1"/>
    <col min="8211" max="8211" width="7.42578125" style="7" customWidth="1"/>
    <col min="8212" max="8212" width="6.7109375" style="7" customWidth="1"/>
    <col min="8213" max="8215" width="6.42578125" style="7" customWidth="1"/>
    <col min="8216" max="8217" width="6.5703125" style="7" customWidth="1"/>
    <col min="8218" max="8218" width="6.7109375" style="7" customWidth="1"/>
    <col min="8219" max="8220" width="7" style="7" customWidth="1"/>
    <col min="8221" max="8221" width="7.42578125" style="7" customWidth="1"/>
    <col min="8222" max="8222" width="7.5703125" style="7" customWidth="1"/>
    <col min="8223" max="8223" width="8.5703125" style="7" customWidth="1"/>
    <col min="8224" max="8224" width="7.28515625" style="7" customWidth="1"/>
    <col min="8225" max="8225" width="10.5703125" style="7" customWidth="1"/>
    <col min="8226" max="8226" width="9.42578125" style="7" bestFit="1" customWidth="1"/>
    <col min="8227" max="8451" width="8.85546875" style="7"/>
    <col min="8452" max="8452" width="5.28515625" style="7" customWidth="1"/>
    <col min="8453" max="8453" width="38.42578125" style="7" customWidth="1"/>
    <col min="8454" max="8454" width="12.42578125" style="7" customWidth="1"/>
    <col min="8455" max="8456" width="11.42578125" style="7" customWidth="1"/>
    <col min="8457" max="8457" width="12.42578125" style="7" bestFit="1" customWidth="1"/>
    <col min="8458" max="8458" width="11.5703125" style="7" customWidth="1"/>
    <col min="8459" max="8459" width="18.7109375" style="7" customWidth="1"/>
    <col min="8460" max="8463" width="8.5703125" style="7" customWidth="1"/>
    <col min="8464" max="8464" width="8.42578125" style="7" customWidth="1"/>
    <col min="8465" max="8465" width="7.42578125" style="7" customWidth="1"/>
    <col min="8466" max="8466" width="7" style="7" customWidth="1"/>
    <col min="8467" max="8467" width="7.42578125" style="7" customWidth="1"/>
    <col min="8468" max="8468" width="6.7109375" style="7" customWidth="1"/>
    <col min="8469" max="8471" width="6.42578125" style="7" customWidth="1"/>
    <col min="8472" max="8473" width="6.5703125" style="7" customWidth="1"/>
    <col min="8474" max="8474" width="6.7109375" style="7" customWidth="1"/>
    <col min="8475" max="8476" width="7" style="7" customWidth="1"/>
    <col min="8477" max="8477" width="7.42578125" style="7" customWidth="1"/>
    <col min="8478" max="8478" width="7.5703125" style="7" customWidth="1"/>
    <col min="8479" max="8479" width="8.5703125" style="7" customWidth="1"/>
    <col min="8480" max="8480" width="7.28515625" style="7" customWidth="1"/>
    <col min="8481" max="8481" width="10.5703125" style="7" customWidth="1"/>
    <col min="8482" max="8482" width="9.42578125" style="7" bestFit="1" customWidth="1"/>
    <col min="8483" max="8707" width="8.85546875" style="7"/>
    <col min="8708" max="8708" width="5.28515625" style="7" customWidth="1"/>
    <col min="8709" max="8709" width="38.42578125" style="7" customWidth="1"/>
    <col min="8710" max="8710" width="12.42578125" style="7" customWidth="1"/>
    <col min="8711" max="8712" width="11.42578125" style="7" customWidth="1"/>
    <col min="8713" max="8713" width="12.42578125" style="7" bestFit="1" customWidth="1"/>
    <col min="8714" max="8714" width="11.5703125" style="7" customWidth="1"/>
    <col min="8715" max="8715" width="18.7109375" style="7" customWidth="1"/>
    <col min="8716" max="8719" width="8.5703125" style="7" customWidth="1"/>
    <col min="8720" max="8720" width="8.42578125" style="7" customWidth="1"/>
    <col min="8721" max="8721" width="7.42578125" style="7" customWidth="1"/>
    <col min="8722" max="8722" width="7" style="7" customWidth="1"/>
    <col min="8723" max="8723" width="7.42578125" style="7" customWidth="1"/>
    <col min="8724" max="8724" width="6.7109375" style="7" customWidth="1"/>
    <col min="8725" max="8727" width="6.42578125" style="7" customWidth="1"/>
    <col min="8728" max="8729" width="6.5703125" style="7" customWidth="1"/>
    <col min="8730" max="8730" width="6.7109375" style="7" customWidth="1"/>
    <col min="8731" max="8732" width="7" style="7" customWidth="1"/>
    <col min="8733" max="8733" width="7.42578125" style="7" customWidth="1"/>
    <col min="8734" max="8734" width="7.5703125" style="7" customWidth="1"/>
    <col min="8735" max="8735" width="8.5703125" style="7" customWidth="1"/>
    <col min="8736" max="8736" width="7.28515625" style="7" customWidth="1"/>
    <col min="8737" max="8737" width="10.5703125" style="7" customWidth="1"/>
    <col min="8738" max="8738" width="9.42578125" style="7" bestFit="1" customWidth="1"/>
    <col min="8739" max="8963" width="8.85546875" style="7"/>
    <col min="8964" max="8964" width="5.28515625" style="7" customWidth="1"/>
    <col min="8965" max="8965" width="38.42578125" style="7" customWidth="1"/>
    <col min="8966" max="8966" width="12.42578125" style="7" customWidth="1"/>
    <col min="8967" max="8968" width="11.42578125" style="7" customWidth="1"/>
    <col min="8969" max="8969" width="12.42578125" style="7" bestFit="1" customWidth="1"/>
    <col min="8970" max="8970" width="11.5703125" style="7" customWidth="1"/>
    <col min="8971" max="8971" width="18.7109375" style="7" customWidth="1"/>
    <col min="8972" max="8975" width="8.5703125" style="7" customWidth="1"/>
    <col min="8976" max="8976" width="8.42578125" style="7" customWidth="1"/>
    <col min="8977" max="8977" width="7.42578125" style="7" customWidth="1"/>
    <col min="8978" max="8978" width="7" style="7" customWidth="1"/>
    <col min="8979" max="8979" width="7.42578125" style="7" customWidth="1"/>
    <col min="8980" max="8980" width="6.7109375" style="7" customWidth="1"/>
    <col min="8981" max="8983" width="6.42578125" style="7" customWidth="1"/>
    <col min="8984" max="8985" width="6.5703125" style="7" customWidth="1"/>
    <col min="8986" max="8986" width="6.7109375" style="7" customWidth="1"/>
    <col min="8987" max="8988" width="7" style="7" customWidth="1"/>
    <col min="8989" max="8989" width="7.42578125" style="7" customWidth="1"/>
    <col min="8990" max="8990" width="7.5703125" style="7" customWidth="1"/>
    <col min="8991" max="8991" width="8.5703125" style="7" customWidth="1"/>
    <col min="8992" max="8992" width="7.28515625" style="7" customWidth="1"/>
    <col min="8993" max="8993" width="10.5703125" style="7" customWidth="1"/>
    <col min="8994" max="8994" width="9.42578125" style="7" bestFit="1" customWidth="1"/>
    <col min="8995" max="9219" width="8.85546875" style="7"/>
    <col min="9220" max="9220" width="5.28515625" style="7" customWidth="1"/>
    <col min="9221" max="9221" width="38.42578125" style="7" customWidth="1"/>
    <col min="9222" max="9222" width="12.42578125" style="7" customWidth="1"/>
    <col min="9223" max="9224" width="11.42578125" style="7" customWidth="1"/>
    <col min="9225" max="9225" width="12.42578125" style="7" bestFit="1" customWidth="1"/>
    <col min="9226" max="9226" width="11.5703125" style="7" customWidth="1"/>
    <col min="9227" max="9227" width="18.7109375" style="7" customWidth="1"/>
    <col min="9228" max="9231" width="8.5703125" style="7" customWidth="1"/>
    <col min="9232" max="9232" width="8.42578125" style="7" customWidth="1"/>
    <col min="9233" max="9233" width="7.42578125" style="7" customWidth="1"/>
    <col min="9234" max="9234" width="7" style="7" customWidth="1"/>
    <col min="9235" max="9235" width="7.42578125" style="7" customWidth="1"/>
    <col min="9236" max="9236" width="6.7109375" style="7" customWidth="1"/>
    <col min="9237" max="9239" width="6.42578125" style="7" customWidth="1"/>
    <col min="9240" max="9241" width="6.5703125" style="7" customWidth="1"/>
    <col min="9242" max="9242" width="6.7109375" style="7" customWidth="1"/>
    <col min="9243" max="9244" width="7" style="7" customWidth="1"/>
    <col min="9245" max="9245" width="7.42578125" style="7" customWidth="1"/>
    <col min="9246" max="9246" width="7.5703125" style="7" customWidth="1"/>
    <col min="9247" max="9247" width="8.5703125" style="7" customWidth="1"/>
    <col min="9248" max="9248" width="7.28515625" style="7" customWidth="1"/>
    <col min="9249" max="9249" width="10.5703125" style="7" customWidth="1"/>
    <col min="9250" max="9250" width="9.42578125" style="7" bestFit="1" customWidth="1"/>
    <col min="9251" max="9475" width="8.85546875" style="7"/>
    <col min="9476" max="9476" width="5.28515625" style="7" customWidth="1"/>
    <col min="9477" max="9477" width="38.42578125" style="7" customWidth="1"/>
    <col min="9478" max="9478" width="12.42578125" style="7" customWidth="1"/>
    <col min="9479" max="9480" width="11.42578125" style="7" customWidth="1"/>
    <col min="9481" max="9481" width="12.42578125" style="7" bestFit="1" customWidth="1"/>
    <col min="9482" max="9482" width="11.5703125" style="7" customWidth="1"/>
    <col min="9483" max="9483" width="18.7109375" style="7" customWidth="1"/>
    <col min="9484" max="9487" width="8.5703125" style="7" customWidth="1"/>
    <col min="9488" max="9488" width="8.42578125" style="7" customWidth="1"/>
    <col min="9489" max="9489" width="7.42578125" style="7" customWidth="1"/>
    <col min="9490" max="9490" width="7" style="7" customWidth="1"/>
    <col min="9491" max="9491" width="7.42578125" style="7" customWidth="1"/>
    <col min="9492" max="9492" width="6.7109375" style="7" customWidth="1"/>
    <col min="9493" max="9495" width="6.42578125" style="7" customWidth="1"/>
    <col min="9496" max="9497" width="6.5703125" style="7" customWidth="1"/>
    <col min="9498" max="9498" width="6.7109375" style="7" customWidth="1"/>
    <col min="9499" max="9500" width="7" style="7" customWidth="1"/>
    <col min="9501" max="9501" width="7.42578125" style="7" customWidth="1"/>
    <col min="9502" max="9502" width="7.5703125" style="7" customWidth="1"/>
    <col min="9503" max="9503" width="8.5703125" style="7" customWidth="1"/>
    <col min="9504" max="9504" width="7.28515625" style="7" customWidth="1"/>
    <col min="9505" max="9505" width="10.5703125" style="7" customWidth="1"/>
    <col min="9506" max="9506" width="9.42578125" style="7" bestFit="1" customWidth="1"/>
    <col min="9507" max="9731" width="8.85546875" style="7"/>
    <col min="9732" max="9732" width="5.28515625" style="7" customWidth="1"/>
    <col min="9733" max="9733" width="38.42578125" style="7" customWidth="1"/>
    <col min="9734" max="9734" width="12.42578125" style="7" customWidth="1"/>
    <col min="9735" max="9736" width="11.42578125" style="7" customWidth="1"/>
    <col min="9737" max="9737" width="12.42578125" style="7" bestFit="1" customWidth="1"/>
    <col min="9738" max="9738" width="11.5703125" style="7" customWidth="1"/>
    <col min="9739" max="9739" width="18.7109375" style="7" customWidth="1"/>
    <col min="9740" max="9743" width="8.5703125" style="7" customWidth="1"/>
    <col min="9744" max="9744" width="8.42578125" style="7" customWidth="1"/>
    <col min="9745" max="9745" width="7.42578125" style="7" customWidth="1"/>
    <col min="9746" max="9746" width="7" style="7" customWidth="1"/>
    <col min="9747" max="9747" width="7.42578125" style="7" customWidth="1"/>
    <col min="9748" max="9748" width="6.7109375" style="7" customWidth="1"/>
    <col min="9749" max="9751" width="6.42578125" style="7" customWidth="1"/>
    <col min="9752" max="9753" width="6.5703125" style="7" customWidth="1"/>
    <col min="9754" max="9754" width="6.7109375" style="7" customWidth="1"/>
    <col min="9755" max="9756" width="7" style="7" customWidth="1"/>
    <col min="9757" max="9757" width="7.42578125" style="7" customWidth="1"/>
    <col min="9758" max="9758" width="7.5703125" style="7" customWidth="1"/>
    <col min="9759" max="9759" width="8.5703125" style="7" customWidth="1"/>
    <col min="9760" max="9760" width="7.28515625" style="7" customWidth="1"/>
    <col min="9761" max="9761" width="10.5703125" style="7" customWidth="1"/>
    <col min="9762" max="9762" width="9.42578125" style="7" bestFit="1" customWidth="1"/>
    <col min="9763" max="9987" width="8.85546875" style="7"/>
    <col min="9988" max="9988" width="5.28515625" style="7" customWidth="1"/>
    <col min="9989" max="9989" width="38.42578125" style="7" customWidth="1"/>
    <col min="9990" max="9990" width="12.42578125" style="7" customWidth="1"/>
    <col min="9991" max="9992" width="11.42578125" style="7" customWidth="1"/>
    <col min="9993" max="9993" width="12.42578125" style="7" bestFit="1" customWidth="1"/>
    <col min="9994" max="9994" width="11.5703125" style="7" customWidth="1"/>
    <col min="9995" max="9995" width="18.7109375" style="7" customWidth="1"/>
    <col min="9996" max="9999" width="8.5703125" style="7" customWidth="1"/>
    <col min="10000" max="10000" width="8.42578125" style="7" customWidth="1"/>
    <col min="10001" max="10001" width="7.42578125" style="7" customWidth="1"/>
    <col min="10002" max="10002" width="7" style="7" customWidth="1"/>
    <col min="10003" max="10003" width="7.42578125" style="7" customWidth="1"/>
    <col min="10004" max="10004" width="6.7109375" style="7" customWidth="1"/>
    <col min="10005" max="10007" width="6.42578125" style="7" customWidth="1"/>
    <col min="10008" max="10009" width="6.5703125" style="7" customWidth="1"/>
    <col min="10010" max="10010" width="6.7109375" style="7" customWidth="1"/>
    <col min="10011" max="10012" width="7" style="7" customWidth="1"/>
    <col min="10013" max="10013" width="7.42578125" style="7" customWidth="1"/>
    <col min="10014" max="10014" width="7.5703125" style="7" customWidth="1"/>
    <col min="10015" max="10015" width="8.5703125" style="7" customWidth="1"/>
    <col min="10016" max="10016" width="7.28515625" style="7" customWidth="1"/>
    <col min="10017" max="10017" width="10.5703125" style="7" customWidth="1"/>
    <col min="10018" max="10018" width="9.42578125" style="7" bestFit="1" customWidth="1"/>
    <col min="10019" max="10243" width="8.85546875" style="7"/>
    <col min="10244" max="10244" width="5.28515625" style="7" customWidth="1"/>
    <col min="10245" max="10245" width="38.42578125" style="7" customWidth="1"/>
    <col min="10246" max="10246" width="12.42578125" style="7" customWidth="1"/>
    <col min="10247" max="10248" width="11.42578125" style="7" customWidth="1"/>
    <col min="10249" max="10249" width="12.42578125" style="7" bestFit="1" customWidth="1"/>
    <col min="10250" max="10250" width="11.5703125" style="7" customWidth="1"/>
    <col min="10251" max="10251" width="18.7109375" style="7" customWidth="1"/>
    <col min="10252" max="10255" width="8.5703125" style="7" customWidth="1"/>
    <col min="10256" max="10256" width="8.42578125" style="7" customWidth="1"/>
    <col min="10257" max="10257" width="7.42578125" style="7" customWidth="1"/>
    <col min="10258" max="10258" width="7" style="7" customWidth="1"/>
    <col min="10259" max="10259" width="7.42578125" style="7" customWidth="1"/>
    <col min="10260" max="10260" width="6.7109375" style="7" customWidth="1"/>
    <col min="10261" max="10263" width="6.42578125" style="7" customWidth="1"/>
    <col min="10264" max="10265" width="6.5703125" style="7" customWidth="1"/>
    <col min="10266" max="10266" width="6.7109375" style="7" customWidth="1"/>
    <col min="10267" max="10268" width="7" style="7" customWidth="1"/>
    <col min="10269" max="10269" width="7.42578125" style="7" customWidth="1"/>
    <col min="10270" max="10270" width="7.5703125" style="7" customWidth="1"/>
    <col min="10271" max="10271" width="8.5703125" style="7" customWidth="1"/>
    <col min="10272" max="10272" width="7.28515625" style="7" customWidth="1"/>
    <col min="10273" max="10273" width="10.5703125" style="7" customWidth="1"/>
    <col min="10274" max="10274" width="9.42578125" style="7" bestFit="1" customWidth="1"/>
    <col min="10275" max="10499" width="8.85546875" style="7"/>
    <col min="10500" max="10500" width="5.28515625" style="7" customWidth="1"/>
    <col min="10501" max="10501" width="38.42578125" style="7" customWidth="1"/>
    <col min="10502" max="10502" width="12.42578125" style="7" customWidth="1"/>
    <col min="10503" max="10504" width="11.42578125" style="7" customWidth="1"/>
    <col min="10505" max="10505" width="12.42578125" style="7" bestFit="1" customWidth="1"/>
    <col min="10506" max="10506" width="11.5703125" style="7" customWidth="1"/>
    <col min="10507" max="10507" width="18.7109375" style="7" customWidth="1"/>
    <col min="10508" max="10511" width="8.5703125" style="7" customWidth="1"/>
    <col min="10512" max="10512" width="8.42578125" style="7" customWidth="1"/>
    <col min="10513" max="10513" width="7.42578125" style="7" customWidth="1"/>
    <col min="10514" max="10514" width="7" style="7" customWidth="1"/>
    <col min="10515" max="10515" width="7.42578125" style="7" customWidth="1"/>
    <col min="10516" max="10516" width="6.7109375" style="7" customWidth="1"/>
    <col min="10517" max="10519" width="6.42578125" style="7" customWidth="1"/>
    <col min="10520" max="10521" width="6.5703125" style="7" customWidth="1"/>
    <col min="10522" max="10522" width="6.7109375" style="7" customWidth="1"/>
    <col min="10523" max="10524" width="7" style="7" customWidth="1"/>
    <col min="10525" max="10525" width="7.42578125" style="7" customWidth="1"/>
    <col min="10526" max="10526" width="7.5703125" style="7" customWidth="1"/>
    <col min="10527" max="10527" width="8.5703125" style="7" customWidth="1"/>
    <col min="10528" max="10528" width="7.28515625" style="7" customWidth="1"/>
    <col min="10529" max="10529" width="10.5703125" style="7" customWidth="1"/>
    <col min="10530" max="10530" width="9.42578125" style="7" bestFit="1" customWidth="1"/>
    <col min="10531" max="10755" width="8.85546875" style="7"/>
    <col min="10756" max="10756" width="5.28515625" style="7" customWidth="1"/>
    <col min="10757" max="10757" width="38.42578125" style="7" customWidth="1"/>
    <col min="10758" max="10758" width="12.42578125" style="7" customWidth="1"/>
    <col min="10759" max="10760" width="11.42578125" style="7" customWidth="1"/>
    <col min="10761" max="10761" width="12.42578125" style="7" bestFit="1" customWidth="1"/>
    <col min="10762" max="10762" width="11.5703125" style="7" customWidth="1"/>
    <col min="10763" max="10763" width="18.7109375" style="7" customWidth="1"/>
    <col min="10764" max="10767" width="8.5703125" style="7" customWidth="1"/>
    <col min="10768" max="10768" width="8.42578125" style="7" customWidth="1"/>
    <col min="10769" max="10769" width="7.42578125" style="7" customWidth="1"/>
    <col min="10770" max="10770" width="7" style="7" customWidth="1"/>
    <col min="10771" max="10771" width="7.42578125" style="7" customWidth="1"/>
    <col min="10772" max="10772" width="6.7109375" style="7" customWidth="1"/>
    <col min="10773" max="10775" width="6.42578125" style="7" customWidth="1"/>
    <col min="10776" max="10777" width="6.5703125" style="7" customWidth="1"/>
    <col min="10778" max="10778" width="6.7109375" style="7" customWidth="1"/>
    <col min="10779" max="10780" width="7" style="7" customWidth="1"/>
    <col min="10781" max="10781" width="7.42578125" style="7" customWidth="1"/>
    <col min="10782" max="10782" width="7.5703125" style="7" customWidth="1"/>
    <col min="10783" max="10783" width="8.5703125" style="7" customWidth="1"/>
    <col min="10784" max="10784" width="7.28515625" style="7" customWidth="1"/>
    <col min="10785" max="10785" width="10.5703125" style="7" customWidth="1"/>
    <col min="10786" max="10786" width="9.42578125" style="7" bestFit="1" customWidth="1"/>
    <col min="10787" max="11011" width="8.85546875" style="7"/>
    <col min="11012" max="11012" width="5.28515625" style="7" customWidth="1"/>
    <col min="11013" max="11013" width="38.42578125" style="7" customWidth="1"/>
    <col min="11014" max="11014" width="12.42578125" style="7" customWidth="1"/>
    <col min="11015" max="11016" width="11.42578125" style="7" customWidth="1"/>
    <col min="11017" max="11017" width="12.42578125" style="7" bestFit="1" customWidth="1"/>
    <col min="11018" max="11018" width="11.5703125" style="7" customWidth="1"/>
    <col min="11019" max="11019" width="18.7109375" style="7" customWidth="1"/>
    <col min="11020" max="11023" width="8.5703125" style="7" customWidth="1"/>
    <col min="11024" max="11024" width="8.42578125" style="7" customWidth="1"/>
    <col min="11025" max="11025" width="7.42578125" style="7" customWidth="1"/>
    <col min="11026" max="11026" width="7" style="7" customWidth="1"/>
    <col min="11027" max="11027" width="7.42578125" style="7" customWidth="1"/>
    <col min="11028" max="11028" width="6.7109375" style="7" customWidth="1"/>
    <col min="11029" max="11031" width="6.42578125" style="7" customWidth="1"/>
    <col min="11032" max="11033" width="6.5703125" style="7" customWidth="1"/>
    <col min="11034" max="11034" width="6.7109375" style="7" customWidth="1"/>
    <col min="11035" max="11036" width="7" style="7" customWidth="1"/>
    <col min="11037" max="11037" width="7.42578125" style="7" customWidth="1"/>
    <col min="11038" max="11038" width="7.5703125" style="7" customWidth="1"/>
    <col min="11039" max="11039" width="8.5703125" style="7" customWidth="1"/>
    <col min="11040" max="11040" width="7.28515625" style="7" customWidth="1"/>
    <col min="11041" max="11041" width="10.5703125" style="7" customWidth="1"/>
    <col min="11042" max="11042" width="9.42578125" style="7" bestFit="1" customWidth="1"/>
    <col min="11043" max="11267" width="8.85546875" style="7"/>
    <col min="11268" max="11268" width="5.28515625" style="7" customWidth="1"/>
    <col min="11269" max="11269" width="38.42578125" style="7" customWidth="1"/>
    <col min="11270" max="11270" width="12.42578125" style="7" customWidth="1"/>
    <col min="11271" max="11272" width="11.42578125" style="7" customWidth="1"/>
    <col min="11273" max="11273" width="12.42578125" style="7" bestFit="1" customWidth="1"/>
    <col min="11274" max="11274" width="11.5703125" style="7" customWidth="1"/>
    <col min="11275" max="11275" width="18.7109375" style="7" customWidth="1"/>
    <col min="11276" max="11279" width="8.5703125" style="7" customWidth="1"/>
    <col min="11280" max="11280" width="8.42578125" style="7" customWidth="1"/>
    <col min="11281" max="11281" width="7.42578125" style="7" customWidth="1"/>
    <col min="11282" max="11282" width="7" style="7" customWidth="1"/>
    <col min="11283" max="11283" width="7.42578125" style="7" customWidth="1"/>
    <col min="11284" max="11284" width="6.7109375" style="7" customWidth="1"/>
    <col min="11285" max="11287" width="6.42578125" style="7" customWidth="1"/>
    <col min="11288" max="11289" width="6.5703125" style="7" customWidth="1"/>
    <col min="11290" max="11290" width="6.7109375" style="7" customWidth="1"/>
    <col min="11291" max="11292" width="7" style="7" customWidth="1"/>
    <col min="11293" max="11293" width="7.42578125" style="7" customWidth="1"/>
    <col min="11294" max="11294" width="7.5703125" style="7" customWidth="1"/>
    <col min="11295" max="11295" width="8.5703125" style="7" customWidth="1"/>
    <col min="11296" max="11296" width="7.28515625" style="7" customWidth="1"/>
    <col min="11297" max="11297" width="10.5703125" style="7" customWidth="1"/>
    <col min="11298" max="11298" width="9.42578125" style="7" bestFit="1" customWidth="1"/>
    <col min="11299" max="11523" width="8.85546875" style="7"/>
    <col min="11524" max="11524" width="5.28515625" style="7" customWidth="1"/>
    <col min="11525" max="11525" width="38.42578125" style="7" customWidth="1"/>
    <col min="11526" max="11526" width="12.42578125" style="7" customWidth="1"/>
    <col min="11527" max="11528" width="11.42578125" style="7" customWidth="1"/>
    <col min="11529" max="11529" width="12.42578125" style="7" bestFit="1" customWidth="1"/>
    <col min="11530" max="11530" width="11.5703125" style="7" customWidth="1"/>
    <col min="11531" max="11531" width="18.7109375" style="7" customWidth="1"/>
    <col min="11532" max="11535" width="8.5703125" style="7" customWidth="1"/>
    <col min="11536" max="11536" width="8.42578125" style="7" customWidth="1"/>
    <col min="11537" max="11537" width="7.42578125" style="7" customWidth="1"/>
    <col min="11538" max="11538" width="7" style="7" customWidth="1"/>
    <col min="11539" max="11539" width="7.42578125" style="7" customWidth="1"/>
    <col min="11540" max="11540" width="6.7109375" style="7" customWidth="1"/>
    <col min="11541" max="11543" width="6.42578125" style="7" customWidth="1"/>
    <col min="11544" max="11545" width="6.5703125" style="7" customWidth="1"/>
    <col min="11546" max="11546" width="6.7109375" style="7" customWidth="1"/>
    <col min="11547" max="11548" width="7" style="7" customWidth="1"/>
    <col min="11549" max="11549" width="7.42578125" style="7" customWidth="1"/>
    <col min="11550" max="11550" width="7.5703125" style="7" customWidth="1"/>
    <col min="11551" max="11551" width="8.5703125" style="7" customWidth="1"/>
    <col min="11552" max="11552" width="7.28515625" style="7" customWidth="1"/>
    <col min="11553" max="11553" width="10.5703125" style="7" customWidth="1"/>
    <col min="11554" max="11554" width="9.42578125" style="7" bestFit="1" customWidth="1"/>
    <col min="11555" max="11779" width="8.85546875" style="7"/>
    <col min="11780" max="11780" width="5.28515625" style="7" customWidth="1"/>
    <col min="11781" max="11781" width="38.42578125" style="7" customWidth="1"/>
    <col min="11782" max="11782" width="12.42578125" style="7" customWidth="1"/>
    <col min="11783" max="11784" width="11.42578125" style="7" customWidth="1"/>
    <col min="11785" max="11785" width="12.42578125" style="7" bestFit="1" customWidth="1"/>
    <col min="11786" max="11786" width="11.5703125" style="7" customWidth="1"/>
    <col min="11787" max="11787" width="18.7109375" style="7" customWidth="1"/>
    <col min="11788" max="11791" width="8.5703125" style="7" customWidth="1"/>
    <col min="11792" max="11792" width="8.42578125" style="7" customWidth="1"/>
    <col min="11793" max="11793" width="7.42578125" style="7" customWidth="1"/>
    <col min="11794" max="11794" width="7" style="7" customWidth="1"/>
    <col min="11795" max="11795" width="7.42578125" style="7" customWidth="1"/>
    <col min="11796" max="11796" width="6.7109375" style="7" customWidth="1"/>
    <col min="11797" max="11799" width="6.42578125" style="7" customWidth="1"/>
    <col min="11800" max="11801" width="6.5703125" style="7" customWidth="1"/>
    <col min="11802" max="11802" width="6.7109375" style="7" customWidth="1"/>
    <col min="11803" max="11804" width="7" style="7" customWidth="1"/>
    <col min="11805" max="11805" width="7.42578125" style="7" customWidth="1"/>
    <col min="11806" max="11806" width="7.5703125" style="7" customWidth="1"/>
    <col min="11807" max="11807" width="8.5703125" style="7" customWidth="1"/>
    <col min="11808" max="11808" width="7.28515625" style="7" customWidth="1"/>
    <col min="11809" max="11809" width="10.5703125" style="7" customWidth="1"/>
    <col min="11810" max="11810" width="9.42578125" style="7" bestFit="1" customWidth="1"/>
    <col min="11811" max="12035" width="8.85546875" style="7"/>
    <col min="12036" max="12036" width="5.28515625" style="7" customWidth="1"/>
    <col min="12037" max="12037" width="38.42578125" style="7" customWidth="1"/>
    <col min="12038" max="12038" width="12.42578125" style="7" customWidth="1"/>
    <col min="12039" max="12040" width="11.42578125" style="7" customWidth="1"/>
    <col min="12041" max="12041" width="12.42578125" style="7" bestFit="1" customWidth="1"/>
    <col min="12042" max="12042" width="11.5703125" style="7" customWidth="1"/>
    <col min="12043" max="12043" width="18.7109375" style="7" customWidth="1"/>
    <col min="12044" max="12047" width="8.5703125" style="7" customWidth="1"/>
    <col min="12048" max="12048" width="8.42578125" style="7" customWidth="1"/>
    <col min="12049" max="12049" width="7.42578125" style="7" customWidth="1"/>
    <col min="12050" max="12050" width="7" style="7" customWidth="1"/>
    <col min="12051" max="12051" width="7.42578125" style="7" customWidth="1"/>
    <col min="12052" max="12052" width="6.7109375" style="7" customWidth="1"/>
    <col min="12053" max="12055" width="6.42578125" style="7" customWidth="1"/>
    <col min="12056" max="12057" width="6.5703125" style="7" customWidth="1"/>
    <col min="12058" max="12058" width="6.7109375" style="7" customWidth="1"/>
    <col min="12059" max="12060" width="7" style="7" customWidth="1"/>
    <col min="12061" max="12061" width="7.42578125" style="7" customWidth="1"/>
    <col min="12062" max="12062" width="7.5703125" style="7" customWidth="1"/>
    <col min="12063" max="12063" width="8.5703125" style="7" customWidth="1"/>
    <col min="12064" max="12064" width="7.28515625" style="7" customWidth="1"/>
    <col min="12065" max="12065" width="10.5703125" style="7" customWidth="1"/>
    <col min="12066" max="12066" width="9.42578125" style="7" bestFit="1" customWidth="1"/>
    <col min="12067" max="12291" width="8.85546875" style="7"/>
    <col min="12292" max="12292" width="5.28515625" style="7" customWidth="1"/>
    <col min="12293" max="12293" width="38.42578125" style="7" customWidth="1"/>
    <col min="12294" max="12294" width="12.42578125" style="7" customWidth="1"/>
    <col min="12295" max="12296" width="11.42578125" style="7" customWidth="1"/>
    <col min="12297" max="12297" width="12.42578125" style="7" bestFit="1" customWidth="1"/>
    <col min="12298" max="12298" width="11.5703125" style="7" customWidth="1"/>
    <col min="12299" max="12299" width="18.7109375" style="7" customWidth="1"/>
    <col min="12300" max="12303" width="8.5703125" style="7" customWidth="1"/>
    <col min="12304" max="12304" width="8.42578125" style="7" customWidth="1"/>
    <col min="12305" max="12305" width="7.42578125" style="7" customWidth="1"/>
    <col min="12306" max="12306" width="7" style="7" customWidth="1"/>
    <col min="12307" max="12307" width="7.42578125" style="7" customWidth="1"/>
    <col min="12308" max="12308" width="6.7109375" style="7" customWidth="1"/>
    <col min="12309" max="12311" width="6.42578125" style="7" customWidth="1"/>
    <col min="12312" max="12313" width="6.5703125" style="7" customWidth="1"/>
    <col min="12314" max="12314" width="6.7109375" style="7" customWidth="1"/>
    <col min="12315" max="12316" width="7" style="7" customWidth="1"/>
    <col min="12317" max="12317" width="7.42578125" style="7" customWidth="1"/>
    <col min="12318" max="12318" width="7.5703125" style="7" customWidth="1"/>
    <col min="12319" max="12319" width="8.5703125" style="7" customWidth="1"/>
    <col min="12320" max="12320" width="7.28515625" style="7" customWidth="1"/>
    <col min="12321" max="12321" width="10.5703125" style="7" customWidth="1"/>
    <col min="12322" max="12322" width="9.42578125" style="7" bestFit="1" customWidth="1"/>
    <col min="12323" max="12547" width="8.85546875" style="7"/>
    <col min="12548" max="12548" width="5.28515625" style="7" customWidth="1"/>
    <col min="12549" max="12549" width="38.42578125" style="7" customWidth="1"/>
    <col min="12550" max="12550" width="12.42578125" style="7" customWidth="1"/>
    <col min="12551" max="12552" width="11.42578125" style="7" customWidth="1"/>
    <col min="12553" max="12553" width="12.42578125" style="7" bestFit="1" customWidth="1"/>
    <col min="12554" max="12554" width="11.5703125" style="7" customWidth="1"/>
    <col min="12555" max="12555" width="18.7109375" style="7" customWidth="1"/>
    <col min="12556" max="12559" width="8.5703125" style="7" customWidth="1"/>
    <col min="12560" max="12560" width="8.42578125" style="7" customWidth="1"/>
    <col min="12561" max="12561" width="7.42578125" style="7" customWidth="1"/>
    <col min="12562" max="12562" width="7" style="7" customWidth="1"/>
    <col min="12563" max="12563" width="7.42578125" style="7" customWidth="1"/>
    <col min="12564" max="12564" width="6.7109375" style="7" customWidth="1"/>
    <col min="12565" max="12567" width="6.42578125" style="7" customWidth="1"/>
    <col min="12568" max="12569" width="6.5703125" style="7" customWidth="1"/>
    <col min="12570" max="12570" width="6.7109375" style="7" customWidth="1"/>
    <col min="12571" max="12572" width="7" style="7" customWidth="1"/>
    <col min="12573" max="12573" width="7.42578125" style="7" customWidth="1"/>
    <col min="12574" max="12574" width="7.5703125" style="7" customWidth="1"/>
    <col min="12575" max="12575" width="8.5703125" style="7" customWidth="1"/>
    <col min="12576" max="12576" width="7.28515625" style="7" customWidth="1"/>
    <col min="12577" max="12577" width="10.5703125" style="7" customWidth="1"/>
    <col min="12578" max="12578" width="9.42578125" style="7" bestFit="1" customWidth="1"/>
    <col min="12579" max="12803" width="8.85546875" style="7"/>
    <col min="12804" max="12804" width="5.28515625" style="7" customWidth="1"/>
    <col min="12805" max="12805" width="38.42578125" style="7" customWidth="1"/>
    <col min="12806" max="12806" width="12.42578125" style="7" customWidth="1"/>
    <col min="12807" max="12808" width="11.42578125" style="7" customWidth="1"/>
    <col min="12809" max="12809" width="12.42578125" style="7" bestFit="1" customWidth="1"/>
    <col min="12810" max="12810" width="11.5703125" style="7" customWidth="1"/>
    <col min="12811" max="12811" width="18.7109375" style="7" customWidth="1"/>
    <col min="12812" max="12815" width="8.5703125" style="7" customWidth="1"/>
    <col min="12816" max="12816" width="8.42578125" style="7" customWidth="1"/>
    <col min="12817" max="12817" width="7.42578125" style="7" customWidth="1"/>
    <col min="12818" max="12818" width="7" style="7" customWidth="1"/>
    <col min="12819" max="12819" width="7.42578125" style="7" customWidth="1"/>
    <col min="12820" max="12820" width="6.7109375" style="7" customWidth="1"/>
    <col min="12821" max="12823" width="6.42578125" style="7" customWidth="1"/>
    <col min="12824" max="12825" width="6.5703125" style="7" customWidth="1"/>
    <col min="12826" max="12826" width="6.7109375" style="7" customWidth="1"/>
    <col min="12827" max="12828" width="7" style="7" customWidth="1"/>
    <col min="12829" max="12829" width="7.42578125" style="7" customWidth="1"/>
    <col min="12830" max="12830" width="7.5703125" style="7" customWidth="1"/>
    <col min="12831" max="12831" width="8.5703125" style="7" customWidth="1"/>
    <col min="12832" max="12832" width="7.28515625" style="7" customWidth="1"/>
    <col min="12833" max="12833" width="10.5703125" style="7" customWidth="1"/>
    <col min="12834" max="12834" width="9.42578125" style="7" bestFit="1" customWidth="1"/>
    <col min="12835" max="13059" width="8.85546875" style="7"/>
    <col min="13060" max="13060" width="5.28515625" style="7" customWidth="1"/>
    <col min="13061" max="13061" width="38.42578125" style="7" customWidth="1"/>
    <col min="13062" max="13062" width="12.42578125" style="7" customWidth="1"/>
    <col min="13063" max="13064" width="11.42578125" style="7" customWidth="1"/>
    <col min="13065" max="13065" width="12.42578125" style="7" bestFit="1" customWidth="1"/>
    <col min="13066" max="13066" width="11.5703125" style="7" customWidth="1"/>
    <col min="13067" max="13067" width="18.7109375" style="7" customWidth="1"/>
    <col min="13068" max="13071" width="8.5703125" style="7" customWidth="1"/>
    <col min="13072" max="13072" width="8.42578125" style="7" customWidth="1"/>
    <col min="13073" max="13073" width="7.42578125" style="7" customWidth="1"/>
    <col min="13074" max="13074" width="7" style="7" customWidth="1"/>
    <col min="13075" max="13075" width="7.42578125" style="7" customWidth="1"/>
    <col min="13076" max="13076" width="6.7109375" style="7" customWidth="1"/>
    <col min="13077" max="13079" width="6.42578125" style="7" customWidth="1"/>
    <col min="13080" max="13081" width="6.5703125" style="7" customWidth="1"/>
    <col min="13082" max="13082" width="6.7109375" style="7" customWidth="1"/>
    <col min="13083" max="13084" width="7" style="7" customWidth="1"/>
    <col min="13085" max="13085" width="7.42578125" style="7" customWidth="1"/>
    <col min="13086" max="13086" width="7.5703125" style="7" customWidth="1"/>
    <col min="13087" max="13087" width="8.5703125" style="7" customWidth="1"/>
    <col min="13088" max="13088" width="7.28515625" style="7" customWidth="1"/>
    <col min="13089" max="13089" width="10.5703125" style="7" customWidth="1"/>
    <col min="13090" max="13090" width="9.42578125" style="7" bestFit="1" customWidth="1"/>
    <col min="13091" max="13315" width="8.85546875" style="7"/>
    <col min="13316" max="13316" width="5.28515625" style="7" customWidth="1"/>
    <col min="13317" max="13317" width="38.42578125" style="7" customWidth="1"/>
    <col min="13318" max="13318" width="12.42578125" style="7" customWidth="1"/>
    <col min="13319" max="13320" width="11.42578125" style="7" customWidth="1"/>
    <col min="13321" max="13321" width="12.42578125" style="7" bestFit="1" customWidth="1"/>
    <col min="13322" max="13322" width="11.5703125" style="7" customWidth="1"/>
    <col min="13323" max="13323" width="18.7109375" style="7" customWidth="1"/>
    <col min="13324" max="13327" width="8.5703125" style="7" customWidth="1"/>
    <col min="13328" max="13328" width="8.42578125" style="7" customWidth="1"/>
    <col min="13329" max="13329" width="7.42578125" style="7" customWidth="1"/>
    <col min="13330" max="13330" width="7" style="7" customWidth="1"/>
    <col min="13331" max="13331" width="7.42578125" style="7" customWidth="1"/>
    <col min="13332" max="13332" width="6.7109375" style="7" customWidth="1"/>
    <col min="13333" max="13335" width="6.42578125" style="7" customWidth="1"/>
    <col min="13336" max="13337" width="6.5703125" style="7" customWidth="1"/>
    <col min="13338" max="13338" width="6.7109375" style="7" customWidth="1"/>
    <col min="13339" max="13340" width="7" style="7" customWidth="1"/>
    <col min="13341" max="13341" width="7.42578125" style="7" customWidth="1"/>
    <col min="13342" max="13342" width="7.5703125" style="7" customWidth="1"/>
    <col min="13343" max="13343" width="8.5703125" style="7" customWidth="1"/>
    <col min="13344" max="13344" width="7.28515625" style="7" customWidth="1"/>
    <col min="13345" max="13345" width="10.5703125" style="7" customWidth="1"/>
    <col min="13346" max="13346" width="9.42578125" style="7" bestFit="1" customWidth="1"/>
    <col min="13347" max="13571" width="8.85546875" style="7"/>
    <col min="13572" max="13572" width="5.28515625" style="7" customWidth="1"/>
    <col min="13573" max="13573" width="38.42578125" style="7" customWidth="1"/>
    <col min="13574" max="13574" width="12.42578125" style="7" customWidth="1"/>
    <col min="13575" max="13576" width="11.42578125" style="7" customWidth="1"/>
    <col min="13577" max="13577" width="12.42578125" style="7" bestFit="1" customWidth="1"/>
    <col min="13578" max="13578" width="11.5703125" style="7" customWidth="1"/>
    <col min="13579" max="13579" width="18.7109375" style="7" customWidth="1"/>
    <col min="13580" max="13583" width="8.5703125" style="7" customWidth="1"/>
    <col min="13584" max="13584" width="8.42578125" style="7" customWidth="1"/>
    <col min="13585" max="13585" width="7.42578125" style="7" customWidth="1"/>
    <col min="13586" max="13586" width="7" style="7" customWidth="1"/>
    <col min="13587" max="13587" width="7.42578125" style="7" customWidth="1"/>
    <col min="13588" max="13588" width="6.7109375" style="7" customWidth="1"/>
    <col min="13589" max="13591" width="6.42578125" style="7" customWidth="1"/>
    <col min="13592" max="13593" width="6.5703125" style="7" customWidth="1"/>
    <col min="13594" max="13594" width="6.7109375" style="7" customWidth="1"/>
    <col min="13595" max="13596" width="7" style="7" customWidth="1"/>
    <col min="13597" max="13597" width="7.42578125" style="7" customWidth="1"/>
    <col min="13598" max="13598" width="7.5703125" style="7" customWidth="1"/>
    <col min="13599" max="13599" width="8.5703125" style="7" customWidth="1"/>
    <col min="13600" max="13600" width="7.28515625" style="7" customWidth="1"/>
    <col min="13601" max="13601" width="10.5703125" style="7" customWidth="1"/>
    <col min="13602" max="13602" width="9.42578125" style="7" bestFit="1" customWidth="1"/>
    <col min="13603" max="13827" width="8.85546875" style="7"/>
    <col min="13828" max="13828" width="5.28515625" style="7" customWidth="1"/>
    <col min="13829" max="13829" width="38.42578125" style="7" customWidth="1"/>
    <col min="13830" max="13830" width="12.42578125" style="7" customWidth="1"/>
    <col min="13831" max="13832" width="11.42578125" style="7" customWidth="1"/>
    <col min="13833" max="13833" width="12.42578125" style="7" bestFit="1" customWidth="1"/>
    <col min="13834" max="13834" width="11.5703125" style="7" customWidth="1"/>
    <col min="13835" max="13835" width="18.7109375" style="7" customWidth="1"/>
    <col min="13836" max="13839" width="8.5703125" style="7" customWidth="1"/>
    <col min="13840" max="13840" width="8.42578125" style="7" customWidth="1"/>
    <col min="13841" max="13841" width="7.42578125" style="7" customWidth="1"/>
    <col min="13842" max="13842" width="7" style="7" customWidth="1"/>
    <col min="13843" max="13843" width="7.42578125" style="7" customWidth="1"/>
    <col min="13844" max="13844" width="6.7109375" style="7" customWidth="1"/>
    <col min="13845" max="13847" width="6.42578125" style="7" customWidth="1"/>
    <col min="13848" max="13849" width="6.5703125" style="7" customWidth="1"/>
    <col min="13850" max="13850" width="6.7109375" style="7" customWidth="1"/>
    <col min="13851" max="13852" width="7" style="7" customWidth="1"/>
    <col min="13853" max="13853" width="7.42578125" style="7" customWidth="1"/>
    <col min="13854" max="13854" width="7.5703125" style="7" customWidth="1"/>
    <col min="13855" max="13855" width="8.5703125" style="7" customWidth="1"/>
    <col min="13856" max="13856" width="7.28515625" style="7" customWidth="1"/>
    <col min="13857" max="13857" width="10.5703125" style="7" customWidth="1"/>
    <col min="13858" max="13858" width="9.42578125" style="7" bestFit="1" customWidth="1"/>
    <col min="13859" max="14083" width="8.85546875" style="7"/>
    <col min="14084" max="14084" width="5.28515625" style="7" customWidth="1"/>
    <col min="14085" max="14085" width="38.42578125" style="7" customWidth="1"/>
    <col min="14086" max="14086" width="12.42578125" style="7" customWidth="1"/>
    <col min="14087" max="14088" width="11.42578125" style="7" customWidth="1"/>
    <col min="14089" max="14089" width="12.42578125" style="7" bestFit="1" customWidth="1"/>
    <col min="14090" max="14090" width="11.5703125" style="7" customWidth="1"/>
    <col min="14091" max="14091" width="18.7109375" style="7" customWidth="1"/>
    <col min="14092" max="14095" width="8.5703125" style="7" customWidth="1"/>
    <col min="14096" max="14096" width="8.42578125" style="7" customWidth="1"/>
    <col min="14097" max="14097" width="7.42578125" style="7" customWidth="1"/>
    <col min="14098" max="14098" width="7" style="7" customWidth="1"/>
    <col min="14099" max="14099" width="7.42578125" style="7" customWidth="1"/>
    <col min="14100" max="14100" width="6.7109375" style="7" customWidth="1"/>
    <col min="14101" max="14103" width="6.42578125" style="7" customWidth="1"/>
    <col min="14104" max="14105" width="6.5703125" style="7" customWidth="1"/>
    <col min="14106" max="14106" width="6.7109375" style="7" customWidth="1"/>
    <col min="14107" max="14108" width="7" style="7" customWidth="1"/>
    <col min="14109" max="14109" width="7.42578125" style="7" customWidth="1"/>
    <col min="14110" max="14110" width="7.5703125" style="7" customWidth="1"/>
    <col min="14111" max="14111" width="8.5703125" style="7" customWidth="1"/>
    <col min="14112" max="14112" width="7.28515625" style="7" customWidth="1"/>
    <col min="14113" max="14113" width="10.5703125" style="7" customWidth="1"/>
    <col min="14114" max="14114" width="9.42578125" style="7" bestFit="1" customWidth="1"/>
    <col min="14115" max="14339" width="8.85546875" style="7"/>
    <col min="14340" max="14340" width="5.28515625" style="7" customWidth="1"/>
    <col min="14341" max="14341" width="38.42578125" style="7" customWidth="1"/>
    <col min="14342" max="14342" width="12.42578125" style="7" customWidth="1"/>
    <col min="14343" max="14344" width="11.42578125" style="7" customWidth="1"/>
    <col min="14345" max="14345" width="12.42578125" style="7" bestFit="1" customWidth="1"/>
    <col min="14346" max="14346" width="11.5703125" style="7" customWidth="1"/>
    <col min="14347" max="14347" width="18.7109375" style="7" customWidth="1"/>
    <col min="14348" max="14351" width="8.5703125" style="7" customWidth="1"/>
    <col min="14352" max="14352" width="8.42578125" style="7" customWidth="1"/>
    <col min="14353" max="14353" width="7.42578125" style="7" customWidth="1"/>
    <col min="14354" max="14354" width="7" style="7" customWidth="1"/>
    <col min="14355" max="14355" width="7.42578125" style="7" customWidth="1"/>
    <col min="14356" max="14356" width="6.7109375" style="7" customWidth="1"/>
    <col min="14357" max="14359" width="6.42578125" style="7" customWidth="1"/>
    <col min="14360" max="14361" width="6.5703125" style="7" customWidth="1"/>
    <col min="14362" max="14362" width="6.7109375" style="7" customWidth="1"/>
    <col min="14363" max="14364" width="7" style="7" customWidth="1"/>
    <col min="14365" max="14365" width="7.42578125" style="7" customWidth="1"/>
    <col min="14366" max="14366" width="7.5703125" style="7" customWidth="1"/>
    <col min="14367" max="14367" width="8.5703125" style="7" customWidth="1"/>
    <col min="14368" max="14368" width="7.28515625" style="7" customWidth="1"/>
    <col min="14369" max="14369" width="10.5703125" style="7" customWidth="1"/>
    <col min="14370" max="14370" width="9.42578125" style="7" bestFit="1" customWidth="1"/>
    <col min="14371" max="14595" width="8.85546875" style="7"/>
    <col min="14596" max="14596" width="5.28515625" style="7" customWidth="1"/>
    <col min="14597" max="14597" width="38.42578125" style="7" customWidth="1"/>
    <col min="14598" max="14598" width="12.42578125" style="7" customWidth="1"/>
    <col min="14599" max="14600" width="11.42578125" style="7" customWidth="1"/>
    <col min="14601" max="14601" width="12.42578125" style="7" bestFit="1" customWidth="1"/>
    <col min="14602" max="14602" width="11.5703125" style="7" customWidth="1"/>
    <col min="14603" max="14603" width="18.7109375" style="7" customWidth="1"/>
    <col min="14604" max="14607" width="8.5703125" style="7" customWidth="1"/>
    <col min="14608" max="14608" width="8.42578125" style="7" customWidth="1"/>
    <col min="14609" max="14609" width="7.42578125" style="7" customWidth="1"/>
    <col min="14610" max="14610" width="7" style="7" customWidth="1"/>
    <col min="14611" max="14611" width="7.42578125" style="7" customWidth="1"/>
    <col min="14612" max="14612" width="6.7109375" style="7" customWidth="1"/>
    <col min="14613" max="14615" width="6.42578125" style="7" customWidth="1"/>
    <col min="14616" max="14617" width="6.5703125" style="7" customWidth="1"/>
    <col min="14618" max="14618" width="6.7109375" style="7" customWidth="1"/>
    <col min="14619" max="14620" width="7" style="7" customWidth="1"/>
    <col min="14621" max="14621" width="7.42578125" style="7" customWidth="1"/>
    <col min="14622" max="14622" width="7.5703125" style="7" customWidth="1"/>
    <col min="14623" max="14623" width="8.5703125" style="7" customWidth="1"/>
    <col min="14624" max="14624" width="7.28515625" style="7" customWidth="1"/>
    <col min="14625" max="14625" width="10.5703125" style="7" customWidth="1"/>
    <col min="14626" max="14626" width="9.42578125" style="7" bestFit="1" customWidth="1"/>
    <col min="14627" max="14851" width="8.85546875" style="7"/>
    <col min="14852" max="14852" width="5.28515625" style="7" customWidth="1"/>
    <col min="14853" max="14853" width="38.42578125" style="7" customWidth="1"/>
    <col min="14854" max="14854" width="12.42578125" style="7" customWidth="1"/>
    <col min="14855" max="14856" width="11.42578125" style="7" customWidth="1"/>
    <col min="14857" max="14857" width="12.42578125" style="7" bestFit="1" customWidth="1"/>
    <col min="14858" max="14858" width="11.5703125" style="7" customWidth="1"/>
    <col min="14859" max="14859" width="18.7109375" style="7" customWidth="1"/>
    <col min="14860" max="14863" width="8.5703125" style="7" customWidth="1"/>
    <col min="14864" max="14864" width="8.42578125" style="7" customWidth="1"/>
    <col min="14865" max="14865" width="7.42578125" style="7" customWidth="1"/>
    <col min="14866" max="14866" width="7" style="7" customWidth="1"/>
    <col min="14867" max="14867" width="7.42578125" style="7" customWidth="1"/>
    <col min="14868" max="14868" width="6.7109375" style="7" customWidth="1"/>
    <col min="14869" max="14871" width="6.42578125" style="7" customWidth="1"/>
    <col min="14872" max="14873" width="6.5703125" style="7" customWidth="1"/>
    <col min="14874" max="14874" width="6.7109375" style="7" customWidth="1"/>
    <col min="14875" max="14876" width="7" style="7" customWidth="1"/>
    <col min="14877" max="14877" width="7.42578125" style="7" customWidth="1"/>
    <col min="14878" max="14878" width="7.5703125" style="7" customWidth="1"/>
    <col min="14879" max="14879" width="8.5703125" style="7" customWidth="1"/>
    <col min="14880" max="14880" width="7.28515625" style="7" customWidth="1"/>
    <col min="14881" max="14881" width="10.5703125" style="7" customWidth="1"/>
    <col min="14882" max="14882" width="9.42578125" style="7" bestFit="1" customWidth="1"/>
    <col min="14883" max="15107" width="8.85546875" style="7"/>
    <col min="15108" max="15108" width="5.28515625" style="7" customWidth="1"/>
    <col min="15109" max="15109" width="38.42578125" style="7" customWidth="1"/>
    <col min="15110" max="15110" width="12.42578125" style="7" customWidth="1"/>
    <col min="15111" max="15112" width="11.42578125" style="7" customWidth="1"/>
    <col min="15113" max="15113" width="12.42578125" style="7" bestFit="1" customWidth="1"/>
    <col min="15114" max="15114" width="11.5703125" style="7" customWidth="1"/>
    <col min="15115" max="15115" width="18.7109375" style="7" customWidth="1"/>
    <col min="15116" max="15119" width="8.5703125" style="7" customWidth="1"/>
    <col min="15120" max="15120" width="8.42578125" style="7" customWidth="1"/>
    <col min="15121" max="15121" width="7.42578125" style="7" customWidth="1"/>
    <col min="15122" max="15122" width="7" style="7" customWidth="1"/>
    <col min="15123" max="15123" width="7.42578125" style="7" customWidth="1"/>
    <col min="15124" max="15124" width="6.7109375" style="7" customWidth="1"/>
    <col min="15125" max="15127" width="6.42578125" style="7" customWidth="1"/>
    <col min="15128" max="15129" width="6.5703125" style="7" customWidth="1"/>
    <col min="15130" max="15130" width="6.7109375" style="7" customWidth="1"/>
    <col min="15131" max="15132" width="7" style="7" customWidth="1"/>
    <col min="15133" max="15133" width="7.42578125" style="7" customWidth="1"/>
    <col min="15134" max="15134" width="7.5703125" style="7" customWidth="1"/>
    <col min="15135" max="15135" width="8.5703125" style="7" customWidth="1"/>
    <col min="15136" max="15136" width="7.28515625" style="7" customWidth="1"/>
    <col min="15137" max="15137" width="10.5703125" style="7" customWidth="1"/>
    <col min="15138" max="15138" width="9.42578125" style="7" bestFit="1" customWidth="1"/>
    <col min="15139" max="15363" width="8.85546875" style="7"/>
    <col min="15364" max="15364" width="5.28515625" style="7" customWidth="1"/>
    <col min="15365" max="15365" width="38.42578125" style="7" customWidth="1"/>
    <col min="15366" max="15366" width="12.42578125" style="7" customWidth="1"/>
    <col min="15367" max="15368" width="11.42578125" style="7" customWidth="1"/>
    <col min="15369" max="15369" width="12.42578125" style="7" bestFit="1" customWidth="1"/>
    <col min="15370" max="15370" width="11.5703125" style="7" customWidth="1"/>
    <col min="15371" max="15371" width="18.7109375" style="7" customWidth="1"/>
    <col min="15372" max="15375" width="8.5703125" style="7" customWidth="1"/>
    <col min="15376" max="15376" width="8.42578125" style="7" customWidth="1"/>
    <col min="15377" max="15377" width="7.42578125" style="7" customWidth="1"/>
    <col min="15378" max="15378" width="7" style="7" customWidth="1"/>
    <col min="15379" max="15379" width="7.42578125" style="7" customWidth="1"/>
    <col min="15380" max="15380" width="6.7109375" style="7" customWidth="1"/>
    <col min="15381" max="15383" width="6.42578125" style="7" customWidth="1"/>
    <col min="15384" max="15385" width="6.5703125" style="7" customWidth="1"/>
    <col min="15386" max="15386" width="6.7109375" style="7" customWidth="1"/>
    <col min="15387" max="15388" width="7" style="7" customWidth="1"/>
    <col min="15389" max="15389" width="7.42578125" style="7" customWidth="1"/>
    <col min="15390" max="15390" width="7.5703125" style="7" customWidth="1"/>
    <col min="15391" max="15391" width="8.5703125" style="7" customWidth="1"/>
    <col min="15392" max="15392" width="7.28515625" style="7" customWidth="1"/>
    <col min="15393" max="15393" width="10.5703125" style="7" customWidth="1"/>
    <col min="15394" max="15394" width="9.42578125" style="7" bestFit="1" customWidth="1"/>
    <col min="15395" max="15619" width="8.85546875" style="7"/>
    <col min="15620" max="15620" width="5.28515625" style="7" customWidth="1"/>
    <col min="15621" max="15621" width="38.42578125" style="7" customWidth="1"/>
    <col min="15622" max="15622" width="12.42578125" style="7" customWidth="1"/>
    <col min="15623" max="15624" width="11.42578125" style="7" customWidth="1"/>
    <col min="15625" max="15625" width="12.42578125" style="7" bestFit="1" customWidth="1"/>
    <col min="15626" max="15626" width="11.5703125" style="7" customWidth="1"/>
    <col min="15627" max="15627" width="18.7109375" style="7" customWidth="1"/>
    <col min="15628" max="15631" width="8.5703125" style="7" customWidth="1"/>
    <col min="15632" max="15632" width="8.42578125" style="7" customWidth="1"/>
    <col min="15633" max="15633" width="7.42578125" style="7" customWidth="1"/>
    <col min="15634" max="15634" width="7" style="7" customWidth="1"/>
    <col min="15635" max="15635" width="7.42578125" style="7" customWidth="1"/>
    <col min="15636" max="15636" width="6.7109375" style="7" customWidth="1"/>
    <col min="15637" max="15639" width="6.42578125" style="7" customWidth="1"/>
    <col min="15640" max="15641" width="6.5703125" style="7" customWidth="1"/>
    <col min="15642" max="15642" width="6.7109375" style="7" customWidth="1"/>
    <col min="15643" max="15644" width="7" style="7" customWidth="1"/>
    <col min="15645" max="15645" width="7.42578125" style="7" customWidth="1"/>
    <col min="15646" max="15646" width="7.5703125" style="7" customWidth="1"/>
    <col min="15647" max="15647" width="8.5703125" style="7" customWidth="1"/>
    <col min="15648" max="15648" width="7.28515625" style="7" customWidth="1"/>
    <col min="15649" max="15649" width="10.5703125" style="7" customWidth="1"/>
    <col min="15650" max="15650" width="9.42578125" style="7" bestFit="1" customWidth="1"/>
    <col min="15651" max="15875" width="8.85546875" style="7"/>
    <col min="15876" max="15876" width="5.28515625" style="7" customWidth="1"/>
    <col min="15877" max="15877" width="38.42578125" style="7" customWidth="1"/>
    <col min="15878" max="15878" width="12.42578125" style="7" customWidth="1"/>
    <col min="15879" max="15880" width="11.42578125" style="7" customWidth="1"/>
    <col min="15881" max="15881" width="12.42578125" style="7" bestFit="1" customWidth="1"/>
    <col min="15882" max="15882" width="11.5703125" style="7" customWidth="1"/>
    <col min="15883" max="15883" width="18.7109375" style="7" customWidth="1"/>
    <col min="15884" max="15887" width="8.5703125" style="7" customWidth="1"/>
    <col min="15888" max="15888" width="8.42578125" style="7" customWidth="1"/>
    <col min="15889" max="15889" width="7.42578125" style="7" customWidth="1"/>
    <col min="15890" max="15890" width="7" style="7" customWidth="1"/>
    <col min="15891" max="15891" width="7.42578125" style="7" customWidth="1"/>
    <col min="15892" max="15892" width="6.7109375" style="7" customWidth="1"/>
    <col min="15893" max="15895" width="6.42578125" style="7" customWidth="1"/>
    <col min="15896" max="15897" width="6.5703125" style="7" customWidth="1"/>
    <col min="15898" max="15898" width="6.7109375" style="7" customWidth="1"/>
    <col min="15899" max="15900" width="7" style="7" customWidth="1"/>
    <col min="15901" max="15901" width="7.42578125" style="7" customWidth="1"/>
    <col min="15902" max="15902" width="7.5703125" style="7" customWidth="1"/>
    <col min="15903" max="15903" width="8.5703125" style="7" customWidth="1"/>
    <col min="15904" max="15904" width="7.28515625" style="7" customWidth="1"/>
    <col min="15905" max="15905" width="10.5703125" style="7" customWidth="1"/>
    <col min="15906" max="15906" width="9.42578125" style="7" bestFit="1" customWidth="1"/>
    <col min="15907" max="16131" width="8.85546875" style="7"/>
    <col min="16132" max="16132" width="5.28515625" style="7" customWidth="1"/>
    <col min="16133" max="16133" width="38.42578125" style="7" customWidth="1"/>
    <col min="16134" max="16134" width="12.42578125" style="7" customWidth="1"/>
    <col min="16135" max="16136" width="11.42578125" style="7" customWidth="1"/>
    <col min="16137" max="16137" width="12.42578125" style="7" bestFit="1" customWidth="1"/>
    <col min="16138" max="16138" width="11.5703125" style="7" customWidth="1"/>
    <col min="16139" max="16139" width="18.7109375" style="7" customWidth="1"/>
    <col min="16140" max="16143" width="8.5703125" style="7" customWidth="1"/>
    <col min="16144" max="16144" width="8.42578125" style="7" customWidth="1"/>
    <col min="16145" max="16145" width="7.42578125" style="7" customWidth="1"/>
    <col min="16146" max="16146" width="7" style="7" customWidth="1"/>
    <col min="16147" max="16147" width="7.42578125" style="7" customWidth="1"/>
    <col min="16148" max="16148" width="6.7109375" style="7" customWidth="1"/>
    <col min="16149" max="16151" width="6.42578125" style="7" customWidth="1"/>
    <col min="16152" max="16153" width="6.5703125" style="7" customWidth="1"/>
    <col min="16154" max="16154" width="6.7109375" style="7" customWidth="1"/>
    <col min="16155" max="16156" width="7" style="7" customWidth="1"/>
    <col min="16157" max="16157" width="7.42578125" style="7" customWidth="1"/>
    <col min="16158" max="16158" width="7.5703125" style="7" customWidth="1"/>
    <col min="16159" max="16159" width="8.5703125" style="7" customWidth="1"/>
    <col min="16160" max="16160" width="7.28515625" style="7" customWidth="1"/>
    <col min="16161" max="16161" width="10.5703125" style="7" customWidth="1"/>
    <col min="16162" max="16162" width="9.42578125" style="7" bestFit="1" customWidth="1"/>
    <col min="16163" max="16384" width="8.85546875" style="7"/>
  </cols>
  <sheetData>
    <row r="1" spans="1:27" s="10" customFormat="1" ht="14.25" customHeight="1" x14ac:dyDescent="0.2">
      <c r="A1" s="72"/>
      <c r="B1" s="72"/>
      <c r="C1" s="72"/>
      <c r="D1" s="72"/>
      <c r="E1" s="72"/>
      <c r="F1" s="72"/>
      <c r="G1" s="72"/>
      <c r="H1" s="72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 t="s">
        <v>32</v>
      </c>
      <c r="W1" s="9" t="s">
        <v>33</v>
      </c>
    </row>
    <row r="2" spans="1:27" x14ac:dyDescent="0.2">
      <c r="A2" s="73" t="s">
        <v>34</v>
      </c>
      <c r="B2" s="73"/>
      <c r="C2" s="73"/>
      <c r="D2" s="73"/>
      <c r="E2" s="73"/>
      <c r="F2" s="73"/>
      <c r="G2" s="73"/>
      <c r="H2" s="73"/>
      <c r="I2" s="11">
        <f>I19+I28+I31+I39+I42+I49+I53+I55+I60+I71+I73</f>
        <v>0</v>
      </c>
      <c r="T2" s="12">
        <f>T19+T28+T31+T39+T49+T53+T55+T60+T73</f>
        <v>0</v>
      </c>
      <c r="U2" s="12"/>
      <c r="V2" s="13">
        <f>W2-I2</f>
        <v>4800000</v>
      </c>
      <c r="W2" s="9">
        <f>[1]ANTEMASURATOARE!B1</f>
        <v>4800000</v>
      </c>
    </row>
    <row r="3" spans="1:27" ht="16.899999999999999" customHeight="1" x14ac:dyDescent="0.2">
      <c r="A3" s="74" t="s">
        <v>35</v>
      </c>
      <c r="B3" s="74"/>
      <c r="C3" s="74"/>
      <c r="D3" s="74"/>
      <c r="E3" s="74"/>
      <c r="F3" s="74"/>
      <c r="G3" s="74"/>
      <c r="H3" s="74"/>
    </row>
    <row r="4" spans="1:27" ht="31.15" customHeight="1" x14ac:dyDescent="0.2">
      <c r="A4" s="75" t="s">
        <v>185</v>
      </c>
      <c r="B4" s="75"/>
      <c r="C4" s="75"/>
      <c r="D4" s="75"/>
      <c r="E4" s="75"/>
      <c r="F4" s="75"/>
      <c r="G4" s="75"/>
      <c r="H4" s="75"/>
      <c r="T4" s="7" t="s">
        <v>36</v>
      </c>
    </row>
    <row r="5" spans="1:27" x14ac:dyDescent="0.2">
      <c r="A5" s="76"/>
      <c r="B5" s="76"/>
      <c r="C5" s="76"/>
      <c r="D5" s="76"/>
      <c r="E5" s="76"/>
      <c r="F5" s="76"/>
      <c r="G5" s="76"/>
      <c r="H5" s="76"/>
      <c r="X5" s="7">
        <v>2</v>
      </c>
      <c r="Y5" s="7">
        <f>190000*X5</f>
        <v>380000</v>
      </c>
    </row>
    <row r="6" spans="1:27" x14ac:dyDescent="0.2">
      <c r="E6" s="10" t="s">
        <v>37</v>
      </c>
      <c r="F6" s="14">
        <v>0.21</v>
      </c>
      <c r="G6" s="14"/>
      <c r="H6" s="15"/>
      <c r="I6" s="16"/>
      <c r="J6" s="16"/>
      <c r="K6" s="16"/>
      <c r="L6" s="16"/>
      <c r="M6" s="16"/>
      <c r="N6" s="16"/>
      <c r="O6" s="16"/>
      <c r="P6" s="16"/>
      <c r="Y6" s="17">
        <f>Y5/1.19</f>
        <v>319327.731092437</v>
      </c>
    </row>
    <row r="7" spans="1:27" ht="15.75" hidden="1" customHeight="1" x14ac:dyDescent="0.2">
      <c r="B7" s="71" t="s">
        <v>38</v>
      </c>
      <c r="C7" s="71"/>
      <c r="D7" s="19">
        <v>4.9488000000000003</v>
      </c>
      <c r="E7" s="10" t="s">
        <v>39</v>
      </c>
      <c r="F7" s="20" t="s">
        <v>40</v>
      </c>
      <c r="G7" s="20"/>
      <c r="H7" s="15"/>
      <c r="I7" s="16"/>
      <c r="J7" s="16"/>
      <c r="K7" s="16"/>
      <c r="L7" s="16"/>
      <c r="M7" s="16"/>
      <c r="N7" s="16"/>
      <c r="O7" s="16"/>
      <c r="P7" s="16"/>
    </row>
    <row r="8" spans="1:27" ht="14.25" customHeight="1" x14ac:dyDescent="0.2">
      <c r="A8" s="78" t="s">
        <v>41</v>
      </c>
      <c r="B8" s="79" t="s">
        <v>42</v>
      </c>
      <c r="C8" s="22" t="s">
        <v>43</v>
      </c>
      <c r="D8" s="22" t="s">
        <v>43</v>
      </c>
      <c r="E8" s="79" t="s">
        <v>44</v>
      </c>
      <c r="F8" s="22" t="s">
        <v>45</v>
      </c>
      <c r="G8" s="22" t="s">
        <v>46</v>
      </c>
      <c r="H8" s="22" t="s">
        <v>45</v>
      </c>
      <c r="I8" s="16"/>
      <c r="J8" s="16"/>
      <c r="K8" s="16"/>
      <c r="L8" s="16"/>
      <c r="M8" s="16"/>
      <c r="N8" s="16"/>
      <c r="O8" s="16"/>
      <c r="P8" s="16"/>
    </row>
    <row r="9" spans="1:27" ht="15" customHeight="1" x14ac:dyDescent="0.2">
      <c r="A9" s="78"/>
      <c r="B9" s="79"/>
      <c r="C9" s="22" t="s">
        <v>47</v>
      </c>
      <c r="D9" s="22" t="s">
        <v>47</v>
      </c>
      <c r="E9" s="79"/>
      <c r="F9" s="22" t="s">
        <v>44</v>
      </c>
      <c r="G9" s="22"/>
      <c r="H9" s="22" t="s">
        <v>44</v>
      </c>
      <c r="I9" s="16"/>
      <c r="J9" s="16"/>
      <c r="K9" s="16"/>
      <c r="L9" s="23"/>
      <c r="M9" s="16"/>
      <c r="N9" s="16"/>
      <c r="O9" s="16"/>
      <c r="P9" s="16"/>
      <c r="X9" s="7" t="s">
        <v>48</v>
      </c>
      <c r="Y9" s="7">
        <v>20000</v>
      </c>
    </row>
    <row r="10" spans="1:27" ht="15.75" customHeight="1" x14ac:dyDescent="0.2">
      <c r="A10" s="78"/>
      <c r="B10" s="79"/>
      <c r="C10" s="22" t="s">
        <v>49</v>
      </c>
      <c r="D10" s="22" t="s">
        <v>50</v>
      </c>
      <c r="E10" s="22" t="s">
        <v>49</v>
      </c>
      <c r="F10" s="22" t="s">
        <v>49</v>
      </c>
      <c r="G10" s="22"/>
      <c r="H10" s="22" t="s">
        <v>50</v>
      </c>
      <c r="I10" s="16"/>
      <c r="J10" s="16"/>
      <c r="K10" s="16"/>
      <c r="L10" s="16"/>
      <c r="M10" s="16"/>
      <c r="N10" s="16"/>
      <c r="O10" s="16"/>
      <c r="P10" s="16"/>
      <c r="X10" s="7" t="s">
        <v>51</v>
      </c>
      <c r="Y10" s="7">
        <v>15000</v>
      </c>
      <c r="AA10" s="24">
        <v>0.06</v>
      </c>
    </row>
    <row r="11" spans="1:27" x14ac:dyDescent="0.2">
      <c r="A11" s="25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/>
      <c r="H11" s="26">
        <v>7</v>
      </c>
      <c r="I11" s="16"/>
      <c r="J11" s="16"/>
      <c r="K11" s="16"/>
      <c r="L11" s="16"/>
      <c r="M11" s="16"/>
      <c r="N11" s="16"/>
      <c r="O11" s="16"/>
      <c r="P11" s="16"/>
      <c r="Z11" s="7">
        <f>SUM(Y9:Y10)</f>
        <v>35000</v>
      </c>
      <c r="AA11" s="7">
        <f>SUM(Y15:Y17)*X5*AA10</f>
        <v>19800</v>
      </c>
    </row>
    <row r="12" spans="1:27" ht="15" customHeight="1" x14ac:dyDescent="0.2">
      <c r="A12" s="80" t="s">
        <v>52</v>
      </c>
      <c r="B12" s="80"/>
      <c r="C12" s="80"/>
      <c r="D12" s="80"/>
      <c r="E12" s="80"/>
      <c r="F12" s="80"/>
      <c r="G12" s="80"/>
      <c r="H12" s="80"/>
      <c r="I12" s="16"/>
      <c r="J12" s="16"/>
      <c r="K12" s="16"/>
      <c r="L12" s="16"/>
      <c r="M12" s="16"/>
      <c r="N12" s="16"/>
      <c r="O12" s="16"/>
      <c r="P12" s="16"/>
    </row>
    <row r="13" spans="1:27" ht="15" customHeight="1" x14ac:dyDescent="0.2">
      <c r="A13" s="27" t="s">
        <v>53</v>
      </c>
      <c r="B13" s="21" t="s">
        <v>54</v>
      </c>
      <c r="C13" s="28">
        <v>0</v>
      </c>
      <c r="D13" s="28">
        <f>C13/D7</f>
        <v>0</v>
      </c>
      <c r="E13" s="28">
        <f>C13*0.21</f>
        <v>0</v>
      </c>
      <c r="F13" s="28">
        <f>C13+E13</f>
        <v>0</v>
      </c>
      <c r="G13" s="28">
        <f>'[1]DG S1 loc 1'!F13+'[1]DG S1 loc 2'!F13+'[1]DG S1 loc 3'!F13+'[1]DG S1 loc 4'!F13</f>
        <v>0</v>
      </c>
      <c r="H13" s="29">
        <f>F13*D7</f>
        <v>0</v>
      </c>
      <c r="I13" s="16"/>
      <c r="J13" s="16"/>
      <c r="K13" s="16"/>
      <c r="L13" s="16"/>
      <c r="M13" s="16"/>
      <c r="N13" s="16"/>
      <c r="O13" s="16"/>
      <c r="P13" s="16"/>
      <c r="U13" s="30">
        <f>F13-'[1]DEVIZ ELIGIBIL '!F13-'[1]DEVIZ NEELIGIBIL '!F13</f>
        <v>0</v>
      </c>
      <c r="X13" s="7" t="s">
        <v>55</v>
      </c>
      <c r="Y13" s="7">
        <v>10000</v>
      </c>
      <c r="AA13" s="24">
        <v>0.04</v>
      </c>
    </row>
    <row r="14" spans="1:27" x14ac:dyDescent="0.2">
      <c r="A14" s="27" t="s">
        <v>56</v>
      </c>
      <c r="B14" s="21" t="s">
        <v>57</v>
      </c>
      <c r="C14" s="28">
        <v>0</v>
      </c>
      <c r="D14" s="28">
        <f>C14/D7</f>
        <v>0</v>
      </c>
      <c r="E14" s="28">
        <f t="shared" ref="E14:E16" si="0">C14*0.21</f>
        <v>0</v>
      </c>
      <c r="F14" s="28">
        <f>C14+E14</f>
        <v>0</v>
      </c>
      <c r="G14" s="28">
        <f>'[1]DG S1 loc 1'!F14+'[1]DG S1 loc 2'!F14+'[1]DG S1 loc 3'!F14+'[1]DG S1 loc 4'!F14</f>
        <v>4284</v>
      </c>
      <c r="H14" s="29">
        <f>F14*D7</f>
        <v>0</v>
      </c>
      <c r="I14" s="16"/>
      <c r="J14" s="16"/>
      <c r="K14" s="16"/>
      <c r="L14" s="16"/>
      <c r="M14" s="16"/>
      <c r="N14" s="16"/>
      <c r="O14" s="16"/>
      <c r="P14" s="16"/>
      <c r="U14" s="30">
        <f>F14-'[1]DEVIZ ELIGIBIL '!F14-'[1]DEVIZ NEELIGIBIL '!F14</f>
        <v>-4284</v>
      </c>
      <c r="Z14" s="7">
        <f>SUM(Y13)</f>
        <v>10000</v>
      </c>
      <c r="AA14" s="7">
        <f>SUM(Y15:Y17)*X5*AA13</f>
        <v>13200</v>
      </c>
    </row>
    <row r="15" spans="1:27" ht="30" x14ac:dyDescent="0.2">
      <c r="A15" s="27" t="s">
        <v>58</v>
      </c>
      <c r="B15" s="21" t="s">
        <v>59</v>
      </c>
      <c r="C15" s="28">
        <v>0</v>
      </c>
      <c r="D15" s="28">
        <f>C15/D7</f>
        <v>0</v>
      </c>
      <c r="E15" s="28">
        <f t="shared" si="0"/>
        <v>0</v>
      </c>
      <c r="F15" s="28">
        <f>C15+E15</f>
        <v>0</v>
      </c>
      <c r="G15" s="28">
        <f>'[1]DG S1 loc 1'!F15+'[1]DG S1 loc 2'!F15+'[1]DG S1 loc 3'!F15+'[1]DG S1 loc 4'!F15</f>
        <v>0</v>
      </c>
      <c r="H15" s="29">
        <f>F15*D7</f>
        <v>0</v>
      </c>
      <c r="I15" s="16"/>
      <c r="J15" s="16"/>
      <c r="K15" s="16"/>
      <c r="L15" s="16"/>
      <c r="M15" s="16"/>
      <c r="N15" s="16"/>
      <c r="O15" s="16"/>
      <c r="P15" s="16"/>
      <c r="U15" s="30">
        <f>F15-'[1]DEVIZ ELIGIBIL '!F15-'[1]DEVIZ NEELIGIBIL '!F15</f>
        <v>0</v>
      </c>
      <c r="X15" s="7" t="s">
        <v>60</v>
      </c>
      <c r="Y15" s="7">
        <v>10000</v>
      </c>
    </row>
    <row r="16" spans="1:27" ht="30" x14ac:dyDescent="0.2">
      <c r="A16" s="27" t="s">
        <v>61</v>
      </c>
      <c r="B16" s="21" t="s">
        <v>62</v>
      </c>
      <c r="C16" s="28">
        <v>0</v>
      </c>
      <c r="D16" s="28">
        <f>C16/D7</f>
        <v>0</v>
      </c>
      <c r="E16" s="28">
        <f t="shared" si="0"/>
        <v>0</v>
      </c>
      <c r="F16" s="28">
        <f>C16+E16</f>
        <v>0</v>
      </c>
      <c r="G16" s="28">
        <f>'[1]DG S1 loc 1'!F16+'[1]DG S1 loc 2'!F16+'[1]DG S1 loc 3'!F16+'[1]DG S1 loc 4'!F16</f>
        <v>0</v>
      </c>
      <c r="H16" s="29">
        <f>F16*D7</f>
        <v>0</v>
      </c>
      <c r="I16" s="16"/>
      <c r="J16" s="16"/>
      <c r="K16" s="16"/>
      <c r="L16" s="16"/>
      <c r="M16" s="16"/>
      <c r="N16" s="16"/>
      <c r="O16" s="16"/>
      <c r="P16" s="16"/>
      <c r="U16" s="30">
        <f>F16-'[1]DEVIZ ELIGIBIL '!F16-'[1]DEVIZ NEELIGIBIL '!F16</f>
        <v>0</v>
      </c>
      <c r="X16" s="7" t="s">
        <v>63</v>
      </c>
      <c r="Y16" s="7">
        <v>15000</v>
      </c>
    </row>
    <row r="17" spans="1:33" ht="15" customHeight="1" x14ac:dyDescent="0.2">
      <c r="A17" s="77" t="s">
        <v>64</v>
      </c>
      <c r="B17" s="77"/>
      <c r="C17" s="31">
        <f>SUM(C13:C16)</f>
        <v>0</v>
      </c>
      <c r="D17" s="31">
        <f>SUM(D13:D16)</f>
        <v>0</v>
      </c>
      <c r="E17" s="31">
        <f>SUM(E13:E16)</f>
        <v>0</v>
      </c>
      <c r="F17" s="31">
        <f>SUM(F13:F16)</f>
        <v>0</v>
      </c>
      <c r="G17" s="28">
        <f>'[1]DG S1 loc 1'!F17+'[1]DG S1 loc 2'!F17+'[1]DG S1 loc 3'!F17+'[1]DG S1 loc 4'!F17</f>
        <v>4284</v>
      </c>
      <c r="H17" s="32">
        <f>SUM(H13:H16)</f>
        <v>0</v>
      </c>
      <c r="I17" s="16"/>
      <c r="J17" s="16"/>
      <c r="K17" s="16"/>
      <c r="L17" s="16"/>
      <c r="M17" s="16"/>
      <c r="N17" s="16"/>
      <c r="O17" s="16"/>
      <c r="P17" s="16"/>
      <c r="U17" s="30">
        <f>F17-'[1]DEVIZ ELIGIBIL '!F17-'[1]DEVIZ NEELIGIBIL '!F17</f>
        <v>-4284</v>
      </c>
      <c r="X17" s="7" t="s">
        <v>65</v>
      </c>
      <c r="Y17" s="7">
        <v>140000</v>
      </c>
    </row>
    <row r="18" spans="1:33" x14ac:dyDescent="0.2">
      <c r="A18" s="77" t="s">
        <v>66</v>
      </c>
      <c r="B18" s="77"/>
      <c r="C18" s="77"/>
      <c r="D18" s="77"/>
      <c r="E18" s="77"/>
      <c r="F18" s="77"/>
      <c r="G18" s="25"/>
      <c r="H18" s="33"/>
      <c r="I18" s="16"/>
      <c r="J18" s="16"/>
      <c r="K18" s="34"/>
      <c r="L18" s="16"/>
      <c r="M18" s="16"/>
      <c r="N18" s="16"/>
      <c r="O18" s="16"/>
      <c r="P18" s="16"/>
      <c r="U18" s="30">
        <f>F18-'[1]DEVIZ ELIGIBIL '!F18-'[1]DEVIZ NEELIGIBIL '!F18</f>
        <v>0</v>
      </c>
      <c r="X18" s="7" t="s">
        <v>67</v>
      </c>
      <c r="Y18" s="7">
        <v>10000</v>
      </c>
    </row>
    <row r="19" spans="1:33" x14ac:dyDescent="0.2">
      <c r="A19" s="27" t="s">
        <v>68</v>
      </c>
      <c r="B19" s="21" t="s">
        <v>69</v>
      </c>
      <c r="C19" s="28">
        <v>0</v>
      </c>
      <c r="D19" s="21"/>
      <c r="E19" s="28">
        <f>C19*0.21</f>
        <v>0</v>
      </c>
      <c r="F19" s="28">
        <f>C19+E19</f>
        <v>0</v>
      </c>
      <c r="G19" s="28">
        <f>'[1]DG S1 loc 1'!F19+'[1]DG S1 loc 2'!F19+'[1]DG S1 loc 3'!F19+'[1]DG S1 loc 4'!F19</f>
        <v>17850</v>
      </c>
      <c r="H19" s="33"/>
      <c r="I19" s="35">
        <f>F19</f>
        <v>0</v>
      </c>
      <c r="J19" s="36"/>
      <c r="K19" s="36"/>
      <c r="L19" s="16"/>
      <c r="M19" s="16"/>
      <c r="N19" s="16"/>
      <c r="O19" s="16"/>
      <c r="P19" s="16"/>
      <c r="T19" s="7">
        <f>I19/1.19</f>
        <v>0</v>
      </c>
      <c r="U19" s="30">
        <f>F19-'[1]DEVIZ ELIGIBIL '!F19-'[1]DEVIZ NEELIGIBIL '!F19</f>
        <v>-17850</v>
      </c>
      <c r="V19" s="24">
        <v>1</v>
      </c>
      <c r="X19" s="7" t="s">
        <v>70</v>
      </c>
      <c r="Y19" s="7">
        <v>1000</v>
      </c>
    </row>
    <row r="20" spans="1:33" ht="15" customHeight="1" x14ac:dyDescent="0.2">
      <c r="A20" s="77" t="s">
        <v>71</v>
      </c>
      <c r="B20" s="77"/>
      <c r="C20" s="31">
        <f>SUM(C19)</f>
        <v>0</v>
      </c>
      <c r="D20" s="31">
        <f>C20/D7</f>
        <v>0</v>
      </c>
      <c r="E20" s="31">
        <f>C20*0.21</f>
        <v>0</v>
      </c>
      <c r="F20" s="31">
        <f>C20+E20</f>
        <v>0</v>
      </c>
      <c r="G20" s="28">
        <f>'[1]DG S1 loc 1'!F20+'[1]DG S1 loc 2'!F20+'[1]DG S1 loc 3'!F20+'[1]DG S1 loc 4'!F20</f>
        <v>17850</v>
      </c>
      <c r="H20" s="37">
        <f>F20*D7</f>
        <v>0</v>
      </c>
      <c r="I20" s="16"/>
      <c r="J20" s="16"/>
      <c r="K20" s="16"/>
      <c r="L20" s="16"/>
      <c r="M20" s="16"/>
      <c r="N20" s="16"/>
      <c r="O20" s="16"/>
      <c r="P20" s="16"/>
      <c r="U20" s="30">
        <f>F20-'[1]DEVIZ ELIGIBIL '!F20-'[1]DEVIZ NEELIGIBIL '!F20</f>
        <v>-17850</v>
      </c>
      <c r="Y20" s="7">
        <f>Y9+Y10+Y13+SUM(Y15:Y17)*X5+Y18+Y19</f>
        <v>386000</v>
      </c>
    </row>
    <row r="21" spans="1:33" ht="15" customHeight="1" x14ac:dyDescent="0.2">
      <c r="A21" s="80" t="s">
        <v>72</v>
      </c>
      <c r="B21" s="80"/>
      <c r="C21" s="80"/>
      <c r="D21" s="80"/>
      <c r="E21" s="80"/>
      <c r="F21" s="80"/>
      <c r="G21" s="80"/>
      <c r="H21" s="80"/>
      <c r="I21" s="16"/>
      <c r="J21" s="16"/>
      <c r="K21" s="16"/>
      <c r="L21" s="16"/>
      <c r="M21" s="16"/>
      <c r="N21" s="16"/>
      <c r="O21" s="16"/>
      <c r="P21" s="16"/>
      <c r="U21" s="30">
        <f>F21-'[1]DEVIZ ELIGIBIL '!F21-'[1]DEVIZ NEELIGIBIL '!F21</f>
        <v>0</v>
      </c>
    </row>
    <row r="22" spans="1:33" ht="15" customHeight="1" x14ac:dyDescent="0.2">
      <c r="A22" s="27" t="s">
        <v>73</v>
      </c>
      <c r="B22" s="21" t="s">
        <v>74</v>
      </c>
      <c r="C22" s="28">
        <f>C23+C26+C27</f>
        <v>0</v>
      </c>
      <c r="D22" s="28">
        <f t="shared" ref="D22:F22" si="1">D23+D26+D27</f>
        <v>0</v>
      </c>
      <c r="E22" s="28">
        <f t="shared" si="1"/>
        <v>0</v>
      </c>
      <c r="F22" s="28">
        <f t="shared" si="1"/>
        <v>0</v>
      </c>
      <c r="G22" s="28">
        <f>'[1]DG S1 loc 1'!F22+'[1]DG S1 loc 2'!F22+'[1]DG S1 loc 3'!F22+'[1]DG S1 loc 4'!F22</f>
        <v>0</v>
      </c>
      <c r="H22" s="38">
        <f>SUM(H23:H27)</f>
        <v>0</v>
      </c>
      <c r="I22" s="16"/>
      <c r="J22" s="16"/>
      <c r="K22" s="16"/>
      <c r="L22" s="16"/>
      <c r="M22" s="16"/>
      <c r="N22" s="16"/>
      <c r="O22" s="16"/>
      <c r="P22" s="16"/>
      <c r="U22" s="30">
        <f>F22-'[1]DEVIZ ELIGIBIL '!F22-'[1]DEVIZ NEELIGIBIL '!F22</f>
        <v>0</v>
      </c>
      <c r="V22" s="24" t="s">
        <v>75</v>
      </c>
    </row>
    <row r="23" spans="1:33" x14ac:dyDescent="0.2">
      <c r="A23" s="81"/>
      <c r="B23" s="21" t="s">
        <v>76</v>
      </c>
      <c r="C23" s="28">
        <v>0</v>
      </c>
      <c r="D23" s="28">
        <f>C23/D7</f>
        <v>0</v>
      </c>
      <c r="E23" s="28">
        <f>C23*0.21</f>
        <v>0</v>
      </c>
      <c r="F23" s="28">
        <f t="shared" ref="F23:F30" si="2">C23+E23</f>
        <v>0</v>
      </c>
      <c r="G23" s="28">
        <f>'[1]DG S1 loc 1'!F23+'[1]DG S1 loc 2'!F23+'[1]DG S1 loc 3'!F23+'[1]DG S1 loc 4'!F23</f>
        <v>0</v>
      </c>
      <c r="H23" s="29">
        <f>F23/D7</f>
        <v>0</v>
      </c>
      <c r="I23" s="16"/>
      <c r="J23" s="16"/>
      <c r="K23" s="34"/>
      <c r="L23" s="16"/>
      <c r="M23" s="16"/>
      <c r="N23" s="16"/>
      <c r="O23" s="16"/>
      <c r="P23" s="16"/>
      <c r="U23" s="30">
        <f>F23-'[1]DEVIZ ELIGIBIL '!F23-'[1]DEVIZ NEELIGIBIL '!F23</f>
        <v>0</v>
      </c>
    </row>
    <row r="24" spans="1:33" x14ac:dyDescent="0.2">
      <c r="A24" s="81"/>
      <c r="B24" s="21" t="s">
        <v>77</v>
      </c>
      <c r="C24" s="28">
        <v>0</v>
      </c>
      <c r="D24" s="28"/>
      <c r="E24" s="28">
        <f t="shared" ref="E24:E27" si="3">C24*0.21</f>
        <v>0</v>
      </c>
      <c r="F24" s="28">
        <f t="shared" si="2"/>
        <v>0</v>
      </c>
      <c r="G24" s="28">
        <f>'[1]DG S1 loc 1'!F24+'[1]DG S1 loc 2'!F24+'[1]DG S1 loc 3'!F24+'[1]DG S1 loc 4'!F24</f>
        <v>0</v>
      </c>
      <c r="H24" s="29"/>
      <c r="I24" s="16"/>
      <c r="J24" s="16"/>
      <c r="K24" s="34"/>
      <c r="L24" s="16"/>
      <c r="M24" s="16"/>
      <c r="N24" s="16"/>
      <c r="O24" s="16"/>
      <c r="P24" s="16"/>
      <c r="U24" s="30">
        <f>F24-'[1]DEVIZ ELIGIBIL '!F24-'[1]DEVIZ NEELIGIBIL '!F24</f>
        <v>0</v>
      </c>
    </row>
    <row r="25" spans="1:33" x14ac:dyDescent="0.2">
      <c r="A25" s="81"/>
      <c r="B25" s="21" t="s">
        <v>78</v>
      </c>
      <c r="C25" s="28">
        <v>0</v>
      </c>
      <c r="D25" s="28"/>
      <c r="E25" s="28">
        <f t="shared" si="3"/>
        <v>0</v>
      </c>
      <c r="F25" s="28">
        <f t="shared" si="2"/>
        <v>0</v>
      </c>
      <c r="G25" s="28">
        <f>'[1]DG S1 loc 1'!F25+'[1]DG S1 loc 2'!F25+'[1]DG S1 loc 3'!F25+'[1]DG S1 loc 4'!F25</f>
        <v>0</v>
      </c>
      <c r="H25" s="29"/>
      <c r="I25" s="16"/>
      <c r="J25" s="16"/>
      <c r="K25" s="34"/>
      <c r="L25" s="16"/>
      <c r="M25" s="16"/>
      <c r="N25" s="16"/>
      <c r="O25" s="16"/>
      <c r="P25" s="16"/>
      <c r="U25" s="30">
        <f>F25-'[1]DEVIZ ELIGIBIL '!F25-'[1]DEVIZ NEELIGIBIL '!F25</f>
        <v>0</v>
      </c>
    </row>
    <row r="26" spans="1:33" ht="30" x14ac:dyDescent="0.2">
      <c r="A26" s="81"/>
      <c r="B26" s="21" t="s">
        <v>79</v>
      </c>
      <c r="C26" s="28">
        <f>'[1]DO cap III'!C13</f>
        <v>0</v>
      </c>
      <c r="D26" s="28">
        <f>C26/D7</f>
        <v>0</v>
      </c>
      <c r="E26" s="28">
        <f t="shared" si="3"/>
        <v>0</v>
      </c>
      <c r="F26" s="28">
        <f t="shared" si="2"/>
        <v>0</v>
      </c>
      <c r="G26" s="28">
        <f>'[1]DG S1 loc 1'!F26+'[1]DG S1 loc 2'!F26+'[1]DG S1 loc 3'!F26+'[1]DG S1 loc 4'!F26</f>
        <v>0</v>
      </c>
      <c r="H26" s="29">
        <f>F26/D7</f>
        <v>0</v>
      </c>
      <c r="I26" s="16"/>
      <c r="J26" s="16"/>
      <c r="K26" s="34"/>
      <c r="L26" s="16"/>
      <c r="M26" s="16"/>
      <c r="N26" s="16"/>
      <c r="O26" s="16"/>
      <c r="P26" s="16"/>
      <c r="U26" s="30">
        <f>F26-'[1]DEVIZ ELIGIBIL '!F26-'[1]DEVIZ NEELIGIBIL '!F26</f>
        <v>0</v>
      </c>
      <c r="Y26" s="17">
        <f>Y6-Y20</f>
        <v>-66672.268907563004</v>
      </c>
    </row>
    <row r="27" spans="1:33" x14ac:dyDescent="0.2">
      <c r="A27" s="81"/>
      <c r="B27" s="21" t="s">
        <v>80</v>
      </c>
      <c r="C27" s="28">
        <v>0</v>
      </c>
      <c r="D27" s="28">
        <f>C27/D7</f>
        <v>0</v>
      </c>
      <c r="E27" s="28">
        <f t="shared" si="3"/>
        <v>0</v>
      </c>
      <c r="F27" s="28">
        <f t="shared" si="2"/>
        <v>0</v>
      </c>
      <c r="G27" s="28">
        <f>'[1]DG S1 loc 1'!F27+'[1]DG S1 loc 2'!F27+'[1]DG S1 loc 3'!F27+'[1]DG S1 loc 4'!F27</f>
        <v>0</v>
      </c>
      <c r="H27" s="29">
        <f>F27/D7</f>
        <v>0</v>
      </c>
      <c r="I27" s="16"/>
      <c r="J27" s="16"/>
      <c r="K27" s="16"/>
      <c r="L27" s="16"/>
      <c r="M27" s="16"/>
      <c r="N27" s="16"/>
      <c r="O27" s="16"/>
      <c r="P27" s="16"/>
      <c r="U27" s="30">
        <f>F27-'[1]DEVIZ ELIGIBIL '!F27-'[1]DEVIZ NEELIGIBIL '!F27</f>
        <v>0</v>
      </c>
    </row>
    <row r="28" spans="1:33" ht="45" x14ac:dyDescent="0.2">
      <c r="A28" s="27" t="s">
        <v>81</v>
      </c>
      <c r="B28" s="21" t="s">
        <v>82</v>
      </c>
      <c r="C28" s="28">
        <v>0</v>
      </c>
      <c r="D28" s="28">
        <f>C28/D7</f>
        <v>0</v>
      </c>
      <c r="E28" s="28">
        <f>C28*0.21</f>
        <v>0</v>
      </c>
      <c r="F28" s="28">
        <f t="shared" si="2"/>
        <v>0</v>
      </c>
      <c r="G28" s="28">
        <f>'[1]DG S1 loc 1'!F28+'[1]DG S1 loc 2'!F28+'[1]DG S1 loc 3'!F28+'[1]DG S1 loc 4'!F28</f>
        <v>19040</v>
      </c>
      <c r="H28" s="38">
        <f>F28/D7</f>
        <v>0</v>
      </c>
      <c r="I28" s="35">
        <f>F28</f>
        <v>0</v>
      </c>
      <c r="J28" s="16"/>
      <c r="K28" s="16"/>
      <c r="L28" s="16"/>
      <c r="M28" s="16"/>
      <c r="N28" s="16"/>
      <c r="O28" s="16"/>
      <c r="P28" s="16"/>
      <c r="T28" s="7">
        <f>I28/1.19</f>
        <v>0</v>
      </c>
      <c r="U28" s="30">
        <f>F28-'[1]DEVIZ ELIGIBIL '!F28-'[1]DEVIZ NEELIGIBIL '!F28</f>
        <v>-19040</v>
      </c>
      <c r="V28" s="24">
        <v>1</v>
      </c>
    </row>
    <row r="29" spans="1:33" x14ac:dyDescent="0.2">
      <c r="A29" s="27" t="s">
        <v>83</v>
      </c>
      <c r="B29" s="21" t="s">
        <v>84</v>
      </c>
      <c r="C29" s="28">
        <f>'[1]DO cap III'!C25</f>
        <v>0</v>
      </c>
      <c r="D29" s="28">
        <f>C29/D7</f>
        <v>0</v>
      </c>
      <c r="E29" s="28">
        <f>C29*0.21</f>
        <v>0</v>
      </c>
      <c r="F29" s="28">
        <f t="shared" si="2"/>
        <v>0</v>
      </c>
      <c r="G29" s="28">
        <f>'[1]DG S1 loc 1'!F29+'[1]DG S1 loc 2'!F29+'[1]DG S1 loc 3'!F29+'[1]DG S1 loc 4'!F29</f>
        <v>0</v>
      </c>
      <c r="H29" s="38">
        <f>F29/D7</f>
        <v>0</v>
      </c>
      <c r="I29" s="16"/>
      <c r="J29" s="16"/>
      <c r="K29" s="34"/>
      <c r="L29" s="16"/>
      <c r="M29" s="16"/>
      <c r="N29" s="16"/>
      <c r="O29" s="16"/>
      <c r="P29" s="16"/>
      <c r="U29" s="30">
        <f>F29-'[1]DEVIZ ELIGIBIL '!F29-'[1]DEVIZ NEELIGIBIL '!F29</f>
        <v>0</v>
      </c>
    </row>
    <row r="30" spans="1:33" ht="30" x14ac:dyDescent="0.2">
      <c r="A30" s="27" t="s">
        <v>85</v>
      </c>
      <c r="B30" s="21" t="s">
        <v>86</v>
      </c>
      <c r="C30" s="28">
        <f>'[1]DO cap III'!C26</f>
        <v>0</v>
      </c>
      <c r="D30" s="28">
        <f>C30/D7</f>
        <v>0</v>
      </c>
      <c r="E30" s="28">
        <f>C30*0.21</f>
        <v>0</v>
      </c>
      <c r="F30" s="28">
        <f t="shared" si="2"/>
        <v>0</v>
      </c>
      <c r="G30" s="28">
        <f>'[1]DG S1 loc 1'!F30+'[1]DG S1 loc 2'!F30+'[1]DG S1 loc 3'!F30+'[1]DG S1 loc 4'!F30</f>
        <v>0</v>
      </c>
      <c r="H30" s="38">
        <f>F30/D7</f>
        <v>0</v>
      </c>
      <c r="I30" s="16"/>
      <c r="J30" s="16"/>
      <c r="K30" s="34"/>
      <c r="L30" s="16"/>
      <c r="M30" s="16"/>
      <c r="N30" s="16"/>
      <c r="O30" s="16"/>
      <c r="P30" s="16"/>
      <c r="U30" s="30">
        <f>F30-'[1]DEVIZ ELIGIBIL '!F30-'[1]DEVIZ NEELIGIBIL '!F30</f>
        <v>0</v>
      </c>
      <c r="AC30" s="7">
        <v>41700</v>
      </c>
    </row>
    <row r="31" spans="1:33" x14ac:dyDescent="0.2">
      <c r="A31" s="27" t="s">
        <v>87</v>
      </c>
      <c r="B31" s="21" t="s">
        <v>88</v>
      </c>
      <c r="C31" s="28">
        <f>SUM(C32:C37)</f>
        <v>0</v>
      </c>
      <c r="D31" s="28">
        <f>SUM(D32:D37)</f>
        <v>9093.1134820562547</v>
      </c>
      <c r="E31" s="28">
        <f>SUM(E32:E37)</f>
        <v>0</v>
      </c>
      <c r="F31" s="28">
        <f>SUM(F32:F37)</f>
        <v>0</v>
      </c>
      <c r="G31" s="28">
        <f>'[1]DG S1 loc 1'!F31+'[1]DG S1 loc 2'!F31+'[1]DG S1 loc 3'!F31+'[1]DG S1 loc 4'!F31</f>
        <v>49623</v>
      </c>
      <c r="H31" s="38">
        <f>SUM(H32:H37)</f>
        <v>0</v>
      </c>
      <c r="I31" s="35">
        <f>(F61)*0.06</f>
        <v>0</v>
      </c>
      <c r="J31" s="36"/>
      <c r="K31" s="36"/>
      <c r="L31" s="16"/>
      <c r="M31" s="16"/>
      <c r="N31" s="16"/>
      <c r="O31" s="16"/>
      <c r="P31" s="16"/>
      <c r="T31" s="7">
        <f>I31/1.19</f>
        <v>0</v>
      </c>
      <c r="U31" s="30">
        <f>F31-'[1]DEVIZ ELIGIBIL '!F31-'[1]DEVIZ NEELIGIBIL '!F31</f>
        <v>-49623</v>
      </c>
      <c r="V31" s="24" t="s">
        <v>75</v>
      </c>
      <c r="AC31" s="7">
        <v>4400</v>
      </c>
    </row>
    <row r="32" spans="1:33" x14ac:dyDescent="0.2">
      <c r="A32" s="81"/>
      <c r="B32" s="21" t="s">
        <v>89</v>
      </c>
      <c r="C32" s="28">
        <f>'[1]DO cap III'!C28</f>
        <v>0</v>
      </c>
      <c r="D32" s="28">
        <f>C32/D7</f>
        <v>0</v>
      </c>
      <c r="E32" s="28">
        <f t="shared" ref="E32:E41" si="4">C32*0.21</f>
        <v>0</v>
      </c>
      <c r="F32" s="28">
        <f>C32+E32</f>
        <v>0</v>
      </c>
      <c r="G32" s="28">
        <f>'[1]DG S1 loc 1'!F32+'[1]DG S1 loc 2'!F32+'[1]DG S1 loc 3'!F32+'[1]DG S1 loc 4'!F32</f>
        <v>0</v>
      </c>
      <c r="H32" s="29">
        <f>F32/D7</f>
        <v>0</v>
      </c>
      <c r="I32" s="39">
        <f>F22+F31+F42</f>
        <v>0</v>
      </c>
      <c r="J32" s="36"/>
      <c r="K32" s="16"/>
      <c r="L32" s="16"/>
      <c r="M32" s="16"/>
      <c r="N32" s="16"/>
      <c r="O32" s="16"/>
      <c r="P32" s="16"/>
      <c r="U32" s="30">
        <f>F32-'[1]DEVIZ ELIGIBIL '!F32-'[1]DEVIZ NEELIGIBIL '!F32</f>
        <v>0</v>
      </c>
      <c r="AC32" s="7">
        <v>9000</v>
      </c>
      <c r="AD32" s="7" t="s">
        <v>184</v>
      </c>
      <c r="AG32" s="7">
        <f>(AC33+AC34+AC35+AC36)*4/100</f>
        <v>11795.6</v>
      </c>
    </row>
    <row r="33" spans="1:29" x14ac:dyDescent="0.2">
      <c r="A33" s="81"/>
      <c r="B33" s="21" t="s">
        <v>90</v>
      </c>
      <c r="C33" s="28">
        <v>0</v>
      </c>
      <c r="D33" s="28">
        <f>C33/D7</f>
        <v>0</v>
      </c>
      <c r="E33" s="28">
        <f t="shared" si="4"/>
        <v>0</v>
      </c>
      <c r="F33" s="28">
        <f t="shared" ref="F33:F41" si="5">C33+E33</f>
        <v>0</v>
      </c>
      <c r="G33" s="28">
        <f>'[1]DG S1 loc 1'!F33+'[1]DG S1 loc 2'!F33+'[1]DG S1 loc 3'!F33+'[1]DG S1 loc 4'!F33</f>
        <v>0</v>
      </c>
      <c r="H33" s="29">
        <f>F33/D7</f>
        <v>0</v>
      </c>
      <c r="I33" s="16"/>
      <c r="J33" s="16"/>
      <c r="K33" s="16"/>
      <c r="L33" s="16"/>
      <c r="M33" s="16"/>
      <c r="N33" s="16"/>
      <c r="O33" s="16"/>
      <c r="P33" s="16"/>
      <c r="U33" s="30">
        <f>F33-'[1]DEVIZ ELIGIBIL '!F33-'[1]DEVIZ NEELIGIBIL '!F33</f>
        <v>0</v>
      </c>
      <c r="AC33" s="7">
        <v>126000</v>
      </c>
    </row>
    <row r="34" spans="1:29" ht="45" x14ac:dyDescent="0.2">
      <c r="A34" s="81"/>
      <c r="B34" s="21" t="s">
        <v>91</v>
      </c>
      <c r="C34" s="28">
        <v>0</v>
      </c>
      <c r="D34" s="28">
        <f>'[1]DO cap III'!D30</f>
        <v>0</v>
      </c>
      <c r="E34" s="28">
        <f t="shared" si="4"/>
        <v>0</v>
      </c>
      <c r="F34" s="28">
        <f t="shared" si="5"/>
        <v>0</v>
      </c>
      <c r="G34" s="28">
        <f>'[1]DG S1 loc 1'!F34+'[1]DG S1 loc 2'!F34+'[1]DG S1 loc 3'!F34+'[1]DG S1 loc 4'!F34</f>
        <v>35700</v>
      </c>
      <c r="H34" s="29">
        <f>F34/D7</f>
        <v>0</v>
      </c>
      <c r="I34" s="39"/>
      <c r="J34" s="16"/>
      <c r="K34" s="16"/>
      <c r="L34" s="16"/>
      <c r="M34" s="16"/>
      <c r="N34" s="16"/>
      <c r="O34" s="16"/>
      <c r="P34" s="16"/>
      <c r="U34" s="30">
        <f>F34-'[1]DEVIZ ELIGIBIL '!F34-'[1]DEVIZ NEELIGIBIL '!F34</f>
        <v>-35700</v>
      </c>
      <c r="V34" s="24">
        <v>0.06</v>
      </c>
      <c r="W34" s="7" t="s">
        <v>92</v>
      </c>
      <c r="X34" s="7">
        <v>20000</v>
      </c>
      <c r="AC34" s="7">
        <v>11030</v>
      </c>
    </row>
    <row r="35" spans="1:29" ht="45" x14ac:dyDescent="0.2">
      <c r="A35" s="81"/>
      <c r="B35" s="21" t="s">
        <v>93</v>
      </c>
      <c r="C35" s="28">
        <v>0</v>
      </c>
      <c r="D35" s="28">
        <f>'[1]DO cap III'!D31</f>
        <v>0</v>
      </c>
      <c r="E35" s="28">
        <f t="shared" si="4"/>
        <v>0</v>
      </c>
      <c r="F35" s="28">
        <f t="shared" si="5"/>
        <v>0</v>
      </c>
      <c r="G35" s="28">
        <f>'[1]DG S1 loc 1'!F35+'[1]DG S1 loc 2'!F35+'[1]DG S1 loc 3'!F35+'[1]DG S1 loc 4'!F35</f>
        <v>595</v>
      </c>
      <c r="H35" s="29">
        <f>F35/D7</f>
        <v>0</v>
      </c>
      <c r="I35" s="16"/>
      <c r="J35" s="16"/>
      <c r="K35" s="16"/>
      <c r="L35" s="16"/>
      <c r="M35" s="16"/>
      <c r="N35" s="16"/>
      <c r="O35" s="16"/>
      <c r="P35" s="16"/>
      <c r="U35" s="30">
        <f>F35-'[1]DEVIZ ELIGIBIL '!F35-'[1]DEVIZ NEELIGIBIL '!F35</f>
        <v>-595</v>
      </c>
      <c r="V35" s="30">
        <f>F34+F36</f>
        <v>0</v>
      </c>
      <c r="W35" s="7" t="s">
        <v>94</v>
      </c>
      <c r="X35" s="7">
        <v>15000</v>
      </c>
      <c r="AC35" s="7">
        <v>130860</v>
      </c>
    </row>
    <row r="36" spans="1:29" ht="45" x14ac:dyDescent="0.2">
      <c r="A36" s="81"/>
      <c r="B36" s="21" t="s">
        <v>95</v>
      </c>
      <c r="C36" s="28">
        <v>0</v>
      </c>
      <c r="D36" s="28">
        <f>'[1]DO cap III'!D32</f>
        <v>202.069188490139</v>
      </c>
      <c r="E36" s="28">
        <f t="shared" si="4"/>
        <v>0</v>
      </c>
      <c r="F36" s="28">
        <f t="shared" si="5"/>
        <v>0</v>
      </c>
      <c r="G36" s="28">
        <f>'[1]DG S1 loc 1'!F36+'[1]DG S1 loc 2'!F36+'[1]DG S1 loc 3'!F36+'[1]DG S1 loc 4'!F36</f>
        <v>1428</v>
      </c>
      <c r="H36" s="29">
        <f>F36/D7</f>
        <v>0</v>
      </c>
      <c r="I36" s="39"/>
      <c r="J36" s="16"/>
      <c r="K36" s="16"/>
      <c r="L36" s="16"/>
      <c r="M36" s="16"/>
      <c r="N36" s="16"/>
      <c r="O36" s="16"/>
      <c r="P36" s="16"/>
      <c r="T36" s="7">
        <f>I31/1.19-T37</f>
        <v>0</v>
      </c>
      <c r="U36" s="30">
        <f>F36-'[1]DEVIZ ELIGIBIL '!F36-'[1]DEVIZ NEELIGIBIL '!F36</f>
        <v>-1428</v>
      </c>
      <c r="V36" s="7">
        <f>(F49+F53+F55)*V34</f>
        <v>0</v>
      </c>
      <c r="X36" s="7">
        <f>SUM(X34:X35)</f>
        <v>35000</v>
      </c>
      <c r="AC36" s="7">
        <v>27000</v>
      </c>
    </row>
    <row r="37" spans="1:29" ht="30" x14ac:dyDescent="0.2">
      <c r="A37" s="81"/>
      <c r="B37" s="21" t="s">
        <v>96</v>
      </c>
      <c r="C37" s="28">
        <v>0</v>
      </c>
      <c r="D37" s="28">
        <f>'[1]DO cap III'!D33</f>
        <v>8891.0442935661158</v>
      </c>
      <c r="E37" s="28">
        <f t="shared" si="4"/>
        <v>0</v>
      </c>
      <c r="F37" s="28">
        <f t="shared" si="5"/>
        <v>0</v>
      </c>
      <c r="G37" s="28">
        <f>'[1]DG S1 loc 1'!F37+'[1]DG S1 loc 2'!F37+'[1]DG S1 loc 3'!F37+'[1]DG S1 loc 4'!F37</f>
        <v>11900</v>
      </c>
      <c r="H37" s="29">
        <f>F37/D7</f>
        <v>0</v>
      </c>
      <c r="I37" s="39"/>
      <c r="J37" s="16"/>
      <c r="K37" s="16"/>
      <c r="L37" s="16"/>
      <c r="M37" s="16"/>
      <c r="N37" s="16"/>
      <c r="O37" s="16"/>
      <c r="P37" s="16"/>
      <c r="T37" s="30">
        <f>C37</f>
        <v>0</v>
      </c>
      <c r="U37" s="30">
        <f>F37-'[1]DEVIZ ELIGIBIL '!F37-'[1]DEVIZ NEELIGIBIL '!F37</f>
        <v>-11900</v>
      </c>
      <c r="V37" s="30">
        <f>V36-V35</f>
        <v>0</v>
      </c>
      <c r="AC37" s="7">
        <v>15000</v>
      </c>
    </row>
    <row r="38" spans="1:29" x14ac:dyDescent="0.2">
      <c r="A38" s="27" t="s">
        <v>97</v>
      </c>
      <c r="B38" s="21" t="s">
        <v>98</v>
      </c>
      <c r="C38" s="28">
        <v>0</v>
      </c>
      <c r="D38" s="28">
        <f>C38/D7</f>
        <v>0</v>
      </c>
      <c r="E38" s="28">
        <f t="shared" si="4"/>
        <v>0</v>
      </c>
      <c r="F38" s="28">
        <f t="shared" si="5"/>
        <v>0</v>
      </c>
      <c r="G38" s="28">
        <f>'[1]DG S1 loc 1'!F38+'[1]DG S1 loc 2'!F38+'[1]DG S1 loc 3'!F38+'[1]DG S1 loc 4'!F38</f>
        <v>0</v>
      </c>
      <c r="H38" s="38">
        <f>F38/D7</f>
        <v>0</v>
      </c>
      <c r="I38" s="16"/>
      <c r="J38" s="16"/>
      <c r="K38" s="16"/>
      <c r="L38" s="16"/>
      <c r="M38" s="16"/>
      <c r="N38" s="16"/>
      <c r="O38" s="16"/>
      <c r="P38" s="16"/>
      <c r="U38" s="30">
        <f>F38-'[1]DEVIZ ELIGIBIL '!F38-'[1]DEVIZ NEELIGIBIL '!F38</f>
        <v>0</v>
      </c>
      <c r="W38" s="7" t="s">
        <v>99</v>
      </c>
      <c r="X38" s="7">
        <v>15000</v>
      </c>
      <c r="AC38" s="7">
        <v>1500</v>
      </c>
    </row>
    <row r="39" spans="1:29" x14ac:dyDescent="0.2">
      <c r="A39" s="27" t="s">
        <v>100</v>
      </c>
      <c r="B39" s="21" t="s">
        <v>101</v>
      </c>
      <c r="C39" s="28">
        <v>0</v>
      </c>
      <c r="D39" s="28">
        <f>SUM(D40:D41)</f>
        <v>0</v>
      </c>
      <c r="E39" s="28">
        <f t="shared" si="4"/>
        <v>0</v>
      </c>
      <c r="F39" s="28">
        <f t="shared" si="5"/>
        <v>0</v>
      </c>
      <c r="G39" s="28">
        <f>'[1]DG S1 loc 1'!F39+'[1]DG S1 loc 2'!F39+'[1]DG S1 loc 3'!F39+'[1]DG S1 loc 4'!F39</f>
        <v>10710</v>
      </c>
      <c r="H39" s="38">
        <f>SUM(H40:H41)</f>
        <v>0</v>
      </c>
      <c r="I39" s="35">
        <f>(F61)*0.04</f>
        <v>0</v>
      </c>
      <c r="J39" s="16"/>
      <c r="K39" s="16"/>
      <c r="L39" s="16"/>
      <c r="M39" s="16"/>
      <c r="N39" s="16"/>
      <c r="O39" s="16"/>
      <c r="P39" s="16"/>
      <c r="T39" s="7">
        <f>I39/1.19</f>
        <v>0</v>
      </c>
      <c r="U39" s="30">
        <f>F39-'[1]DEVIZ ELIGIBIL '!F39-'[1]DEVIZ NEELIGIBIL '!F39</f>
        <v>-10710</v>
      </c>
      <c r="V39" s="24" t="s">
        <v>102</v>
      </c>
      <c r="AC39" s="7">
        <f>SUM(AC30:AC38)</f>
        <v>366490</v>
      </c>
    </row>
    <row r="40" spans="1:29" ht="30" x14ac:dyDescent="0.2">
      <c r="A40" s="81"/>
      <c r="B40" s="21" t="s">
        <v>103</v>
      </c>
      <c r="C40" s="28">
        <v>0</v>
      </c>
      <c r="D40" s="28"/>
      <c r="E40" s="28">
        <f t="shared" si="4"/>
        <v>0</v>
      </c>
      <c r="F40" s="28">
        <f t="shared" si="5"/>
        <v>0</v>
      </c>
      <c r="G40" s="28">
        <f>'[1]DG S1 loc 1'!F40+'[1]DG S1 loc 2'!F40+'[1]DG S1 loc 3'!F40+'[1]DG S1 loc 4'!F40</f>
        <v>5950</v>
      </c>
      <c r="H40" s="29"/>
      <c r="I40" s="39">
        <f>I39-F39</f>
        <v>0</v>
      </c>
      <c r="J40" s="16"/>
      <c r="K40" s="16"/>
      <c r="L40" s="16"/>
      <c r="M40" s="16"/>
      <c r="N40" s="16"/>
      <c r="O40" s="16"/>
      <c r="P40" s="16"/>
      <c r="R40" s="40"/>
      <c r="U40" s="30">
        <f>F40-'[1]DEVIZ ELIGIBIL '!F40-'[1]DEVIZ NEELIGIBIL '!F40</f>
        <v>-5950</v>
      </c>
      <c r="V40" s="30">
        <f>F39</f>
        <v>0</v>
      </c>
      <c r="AC40" s="7">
        <v>359494.24</v>
      </c>
    </row>
    <row r="41" spans="1:29" ht="30" x14ac:dyDescent="0.2">
      <c r="A41" s="81"/>
      <c r="B41" s="21" t="s">
        <v>104</v>
      </c>
      <c r="C41" s="28">
        <v>0</v>
      </c>
      <c r="D41" s="28"/>
      <c r="E41" s="28">
        <f t="shared" si="4"/>
        <v>0</v>
      </c>
      <c r="F41" s="28">
        <f t="shared" si="5"/>
        <v>0</v>
      </c>
      <c r="G41" s="28">
        <f>'[1]DG S1 loc 1'!F41+'[1]DG S1 loc 2'!F41+'[1]DG S1 loc 3'!F41+'[1]DG S1 loc 4'!F41</f>
        <v>4760</v>
      </c>
      <c r="H41" s="29"/>
      <c r="I41" s="16"/>
      <c r="J41" s="16"/>
      <c r="K41" s="16"/>
      <c r="L41" s="16"/>
      <c r="M41" s="16"/>
      <c r="N41" s="16"/>
      <c r="O41" s="16"/>
      <c r="P41" s="16"/>
      <c r="R41" s="40"/>
      <c r="U41" s="30">
        <f>F41-'[1]DEVIZ ELIGIBIL '!F41-'[1]DEVIZ NEELIGIBIL '!F41</f>
        <v>-4760</v>
      </c>
      <c r="V41" s="7" t="e">
        <f>(F49+F53+F55)*V39</f>
        <v>#VALUE!</v>
      </c>
      <c r="AC41" s="7">
        <f>AC39-AC40</f>
        <v>6995.7600000000093</v>
      </c>
    </row>
    <row r="42" spans="1:29" x14ac:dyDescent="0.2">
      <c r="A42" s="27" t="s">
        <v>105</v>
      </c>
      <c r="B42" s="21" t="s">
        <v>106</v>
      </c>
      <c r="C42" s="28">
        <f>C43+C46</f>
        <v>0</v>
      </c>
      <c r="D42" s="28">
        <f>D43+D46</f>
        <v>0</v>
      </c>
      <c r="E42" s="28">
        <f>E43+E46</f>
        <v>0</v>
      </c>
      <c r="F42" s="28">
        <f>F43+F46</f>
        <v>0</v>
      </c>
      <c r="G42" s="28">
        <f>'[1]DG S1 loc 1'!F42+'[1]DG S1 loc 2'!F42+'[1]DG S1 loc 3'!F42+'[1]DG S1 loc 4'!F42</f>
        <v>5236</v>
      </c>
      <c r="H42" s="38">
        <f>H43+H46</f>
        <v>0</v>
      </c>
      <c r="I42" s="16"/>
      <c r="J42" s="16"/>
      <c r="K42" s="34"/>
      <c r="L42" s="16"/>
      <c r="M42" s="16"/>
      <c r="N42" s="16"/>
      <c r="O42" s="16"/>
      <c r="P42" s="16"/>
      <c r="U42" s="30">
        <f>F42-'[1]DEVIZ ELIGIBIL '!F42-'[1]DEVIZ NEELIGIBIL '!F42</f>
        <v>-5236</v>
      </c>
      <c r="V42" s="24" t="s">
        <v>75</v>
      </c>
    </row>
    <row r="43" spans="1:29" ht="30" x14ac:dyDescent="0.2">
      <c r="A43" s="27"/>
      <c r="B43" s="21" t="s">
        <v>107</v>
      </c>
      <c r="C43" s="28">
        <f>SUM(C44:C45)</f>
        <v>0</v>
      </c>
      <c r="D43" s="28">
        <f t="shared" ref="D43:F43" si="6">SUM(D44:D45)</f>
        <v>0</v>
      </c>
      <c r="E43" s="28">
        <f t="shared" si="6"/>
        <v>0</v>
      </c>
      <c r="F43" s="28">
        <f t="shared" si="6"/>
        <v>0</v>
      </c>
      <c r="G43" s="28">
        <f>'[1]DG S1 loc 1'!F43+'[1]DG S1 loc 2'!F43+'[1]DG S1 loc 3'!F43+'[1]DG S1 loc 4'!F43</f>
        <v>2380</v>
      </c>
      <c r="H43" s="38">
        <f>SUM(H44:H45)</f>
        <v>0</v>
      </c>
      <c r="I43" s="16"/>
      <c r="J43" s="16"/>
      <c r="K43" s="34"/>
      <c r="L43" s="34"/>
      <c r="M43" s="16"/>
      <c r="N43" s="16"/>
      <c r="O43" s="16"/>
      <c r="P43" s="16"/>
      <c r="T43" s="41"/>
      <c r="U43" s="30">
        <f>F43-'[1]DEVIZ ELIGIBIL '!F43-'[1]DEVIZ NEELIGIBIL '!F43</f>
        <v>-2380</v>
      </c>
    </row>
    <row r="44" spans="1:29" ht="30" x14ac:dyDescent="0.2">
      <c r="A44" s="21"/>
      <c r="B44" s="21" t="s">
        <v>108</v>
      </c>
      <c r="C44" s="28">
        <v>0</v>
      </c>
      <c r="D44" s="28">
        <f>'[1]DO cap III'!D44</f>
        <v>0</v>
      </c>
      <c r="E44" s="28">
        <f>C44*0.21</f>
        <v>0</v>
      </c>
      <c r="F44" s="28">
        <f>C44+E44</f>
        <v>0</v>
      </c>
      <c r="G44" s="28">
        <f>'[1]DG S1 loc 1'!F44+'[1]DG S1 loc 2'!F44+'[1]DG S1 loc 3'!F44+'[1]DG S1 loc 4'!F44</f>
        <v>1785</v>
      </c>
      <c r="H44" s="29">
        <f>F44/D7</f>
        <v>0</v>
      </c>
      <c r="I44" s="16"/>
      <c r="J44" s="16"/>
      <c r="K44" s="16"/>
      <c r="L44" s="16"/>
      <c r="M44" s="16"/>
      <c r="N44" s="16"/>
      <c r="O44" s="16"/>
      <c r="P44" s="16"/>
      <c r="T44" s="41"/>
      <c r="U44" s="30">
        <f>F44-'[1]DEVIZ ELIGIBIL '!F44-'[1]DEVIZ NEELIGIBIL '!F44</f>
        <v>-1785</v>
      </c>
    </row>
    <row r="45" spans="1:29" ht="75" x14ac:dyDescent="0.2">
      <c r="A45" s="21"/>
      <c r="B45" s="42" t="s">
        <v>109</v>
      </c>
      <c r="C45" s="28">
        <v>0</v>
      </c>
      <c r="D45" s="28">
        <f>'[1]DO cap III'!D45</f>
        <v>0</v>
      </c>
      <c r="E45" s="28">
        <f>C45*0.21</f>
        <v>0</v>
      </c>
      <c r="F45" s="28">
        <f>C45+E45</f>
        <v>0</v>
      </c>
      <c r="G45" s="28">
        <f>'[1]DG S1 loc 1'!F45+'[1]DG S1 loc 2'!F45+'[1]DG S1 loc 3'!F45+'[1]DG S1 loc 4'!F45</f>
        <v>595</v>
      </c>
      <c r="H45" s="29">
        <f>F45/D7</f>
        <v>0</v>
      </c>
      <c r="I45" s="16"/>
      <c r="J45" s="16"/>
      <c r="K45" s="16"/>
      <c r="L45" s="16"/>
      <c r="M45" s="16"/>
      <c r="N45" s="16"/>
      <c r="O45" s="16"/>
      <c r="P45" s="16"/>
      <c r="T45" s="41"/>
      <c r="U45" s="30">
        <f>F45-'[1]DEVIZ ELIGIBIL '!F45-'[1]DEVIZ NEELIGIBIL '!F45</f>
        <v>-595</v>
      </c>
    </row>
    <row r="46" spans="1:29" x14ac:dyDescent="0.2">
      <c r="A46" s="21"/>
      <c r="B46" s="21" t="s">
        <v>110</v>
      </c>
      <c r="C46" s="28">
        <v>0</v>
      </c>
      <c r="D46" s="28">
        <f>C46/D7</f>
        <v>0</v>
      </c>
      <c r="E46" s="28">
        <f>C46*0.21</f>
        <v>0</v>
      </c>
      <c r="F46" s="28">
        <f>C46+E46</f>
        <v>0</v>
      </c>
      <c r="G46" s="28">
        <f>'[1]DG S1 loc 1'!F46+'[1]DG S1 loc 2'!F46+'[1]DG S1 loc 3'!F46+'[1]DG S1 loc 4'!F46</f>
        <v>2856</v>
      </c>
      <c r="H46" s="38">
        <f>F46/D7</f>
        <v>0</v>
      </c>
      <c r="I46" s="16"/>
      <c r="J46" s="16"/>
      <c r="K46" s="16"/>
      <c r="L46" s="16"/>
      <c r="M46" s="16"/>
      <c r="N46" s="16"/>
      <c r="O46" s="16"/>
      <c r="P46" s="16"/>
      <c r="T46" s="41"/>
      <c r="U46" s="30">
        <f>F46-'[1]DEVIZ ELIGIBIL '!F46-'[1]DEVIZ NEELIGIBIL '!F46</f>
        <v>-2856</v>
      </c>
    </row>
    <row r="47" spans="1:29" ht="15" customHeight="1" x14ac:dyDescent="0.2">
      <c r="A47" s="77" t="s">
        <v>111</v>
      </c>
      <c r="B47" s="77"/>
      <c r="C47" s="31">
        <f>C22+C28+C29+C30+C31+C38+C39+C42</f>
        <v>0</v>
      </c>
      <c r="D47" s="31">
        <f>D22+D28+D29+D30+D31+D38+D39+D42</f>
        <v>9093.1134820562547</v>
      </c>
      <c r="E47" s="31">
        <f>E22+E28+E29+E30+E31+E38+E39+E42</f>
        <v>0</v>
      </c>
      <c r="F47" s="31">
        <f>F22+F28+F29+F30+F31+F38+F39+F42</f>
        <v>0</v>
      </c>
      <c r="G47" s="28">
        <f>'[1]DG S1 loc 1'!F47+'[1]DG S1 loc 2'!F47+'[1]DG S1 loc 3'!F47+'[1]DG S1 loc 4'!F47</f>
        <v>84609</v>
      </c>
      <c r="H47" s="32">
        <f>H22+H28+H29+H30+H31+H38+H39+H42</f>
        <v>0</v>
      </c>
      <c r="I47" s="36"/>
      <c r="J47" s="16"/>
      <c r="K47" s="16"/>
      <c r="L47" s="16"/>
      <c r="M47" s="16"/>
      <c r="N47" s="16"/>
      <c r="O47" s="16"/>
      <c r="P47" s="16"/>
      <c r="T47" s="41"/>
      <c r="U47" s="30">
        <f>F47-'[1]DEVIZ ELIGIBIL '!F47-'[1]DEVIZ NEELIGIBIL '!F47</f>
        <v>-84609</v>
      </c>
    </row>
    <row r="48" spans="1:29" ht="15" customHeight="1" x14ac:dyDescent="0.2">
      <c r="A48" s="80" t="s">
        <v>112</v>
      </c>
      <c r="B48" s="80"/>
      <c r="C48" s="80"/>
      <c r="D48" s="80"/>
      <c r="E48" s="80"/>
      <c r="F48" s="80"/>
      <c r="G48" s="80"/>
      <c r="H48" s="80"/>
      <c r="I48" s="16"/>
      <c r="J48" s="16"/>
      <c r="K48" s="16"/>
      <c r="L48" s="16"/>
      <c r="M48" s="16"/>
      <c r="N48" s="16"/>
      <c r="O48" s="16"/>
      <c r="P48" s="16"/>
      <c r="T48" s="41"/>
      <c r="U48" s="30">
        <f>F48-'[1]DEVIZ ELIGIBIL '!F48-'[1]DEVIZ NEELIGIBIL '!F48</f>
        <v>0</v>
      </c>
    </row>
    <row r="49" spans="1:23" ht="15" customHeight="1" x14ac:dyDescent="0.2">
      <c r="A49" s="27" t="s">
        <v>113</v>
      </c>
      <c r="B49" s="21" t="s">
        <v>114</v>
      </c>
      <c r="C49" s="28">
        <v>0</v>
      </c>
      <c r="D49" s="28">
        <f>C49/D7</f>
        <v>0</v>
      </c>
      <c r="E49" s="28">
        <f>C49*0.21</f>
        <v>0</v>
      </c>
      <c r="F49" s="28">
        <f t="shared" ref="F49:F60" si="7">C49+E49</f>
        <v>0</v>
      </c>
      <c r="G49" s="28">
        <f>'[1]DG S1 loc 1'!F49+'[1]DG S1 loc 2'!F49+'[1]DG S1 loc 3'!F49+'[1]DG S1 loc 4'!F49</f>
        <v>138992.00000000003</v>
      </c>
      <c r="H49" s="29">
        <f>F49/D7</f>
        <v>0</v>
      </c>
      <c r="I49" s="35"/>
      <c r="J49" s="15" t="s">
        <v>115</v>
      </c>
      <c r="K49" s="15" t="s">
        <v>116</v>
      </c>
      <c r="L49" s="15" t="s">
        <v>117</v>
      </c>
      <c r="M49" s="15"/>
      <c r="N49" s="15"/>
      <c r="O49" s="43">
        <v>555555.55000000005</v>
      </c>
      <c r="P49" s="15"/>
      <c r="Q49" s="15"/>
      <c r="R49" s="15"/>
      <c r="S49" s="15"/>
      <c r="T49" s="44">
        <f>I49/1.19</f>
        <v>0</v>
      </c>
      <c r="U49" s="30">
        <f>F49-'[1]DEVIZ ELIGIBIL '!F49-'[1]DEVIZ NEELIGIBIL '!F49</f>
        <v>-138992</v>
      </c>
      <c r="V49" s="30">
        <f>V2/1.19</f>
        <v>4033613.4453781513</v>
      </c>
    </row>
    <row r="50" spans="1:23" ht="30" hidden="1" x14ac:dyDescent="0.2">
      <c r="A50" s="27"/>
      <c r="B50" s="45" t="s">
        <v>118</v>
      </c>
      <c r="C50" s="28">
        <v>0</v>
      </c>
      <c r="D50" s="28"/>
      <c r="E50" s="28">
        <f>C50*19%</f>
        <v>0</v>
      </c>
      <c r="F50" s="28">
        <f>C50+E50</f>
        <v>0</v>
      </c>
      <c r="G50" s="28">
        <f>'[1]DG S1 loc 1'!F50+'[1]DG S1 loc 2'!F50+'[1]DG S1 loc 3'!F50+'[1]DG S1 loc 4'!F50</f>
        <v>120428.00000000003</v>
      </c>
      <c r="H50" s="29"/>
      <c r="I50" s="35"/>
      <c r="J50" s="15"/>
      <c r="K50" s="15"/>
      <c r="L50" s="15"/>
      <c r="M50" s="15"/>
      <c r="N50" s="15"/>
      <c r="O50" s="43"/>
      <c r="P50" s="15"/>
      <c r="Q50" s="15"/>
      <c r="R50" s="15"/>
      <c r="S50" s="15"/>
      <c r="T50" s="44"/>
      <c r="U50" s="30"/>
      <c r="V50" s="30"/>
    </row>
    <row r="51" spans="1:23" ht="42" hidden="1" customHeight="1" x14ac:dyDescent="0.2">
      <c r="A51" s="27"/>
      <c r="B51" s="45" t="s">
        <v>119</v>
      </c>
      <c r="C51" s="28">
        <f>0</f>
        <v>0</v>
      </c>
      <c r="D51" s="28"/>
      <c r="E51" s="28">
        <f t="shared" ref="E51:E52" si="8">C51*19%</f>
        <v>0</v>
      </c>
      <c r="F51" s="28">
        <f t="shared" ref="F51:F52" si="9">C51+E51</f>
        <v>0</v>
      </c>
      <c r="G51" s="28">
        <f>'[1]DG S1 loc 1'!F51+'[1]DG S1 loc 2'!F51+'[1]DG S1 loc 3'!F51+'[1]DG S1 loc 4'!F51</f>
        <v>23562</v>
      </c>
      <c r="H51" s="29"/>
      <c r="I51" s="35"/>
      <c r="J51" s="15"/>
      <c r="K51" s="15"/>
      <c r="L51" s="15"/>
      <c r="M51" s="15"/>
      <c r="N51" s="15"/>
      <c r="O51" s="43"/>
      <c r="P51" s="15"/>
      <c r="Q51" s="15"/>
      <c r="R51" s="15"/>
      <c r="S51" s="15"/>
      <c r="T51" s="44"/>
      <c r="U51" s="30"/>
      <c r="V51" s="30"/>
    </row>
    <row r="52" spans="1:23" ht="42" hidden="1" customHeight="1" x14ac:dyDescent="0.2">
      <c r="A52" s="27"/>
      <c r="B52" s="15" t="s">
        <v>120</v>
      </c>
      <c r="C52" s="28">
        <v>0</v>
      </c>
      <c r="D52" s="28"/>
      <c r="E52" s="28">
        <f t="shared" si="8"/>
        <v>0</v>
      </c>
      <c r="F52" s="28">
        <f t="shared" si="9"/>
        <v>0</v>
      </c>
      <c r="G52" s="28">
        <f>'[1]DG S1 loc 1'!F52+'[1]DG S1 loc 2'!F52+'[1]DG S1 loc 3'!F52+'[1]DG S1 loc 4'!F52</f>
        <v>14280</v>
      </c>
      <c r="H52" s="29"/>
      <c r="I52" s="35"/>
      <c r="J52" s="15"/>
      <c r="K52" s="15"/>
      <c r="L52" s="15"/>
      <c r="M52" s="15"/>
      <c r="N52" s="15"/>
      <c r="O52" s="43"/>
      <c r="P52" s="15"/>
      <c r="Q52" s="15"/>
      <c r="R52" s="15"/>
      <c r="S52" s="15"/>
      <c r="T52" s="44"/>
      <c r="U52" s="30"/>
      <c r="V52" s="30"/>
    </row>
    <row r="53" spans="1:23" ht="30" x14ac:dyDescent="0.2">
      <c r="A53" s="27" t="s">
        <v>121</v>
      </c>
      <c r="B53" s="21" t="s">
        <v>122</v>
      </c>
      <c r="C53" s="28">
        <v>0</v>
      </c>
      <c r="D53" s="28">
        <f>C53/D7</f>
        <v>0</v>
      </c>
      <c r="E53" s="28">
        <f>C53*0.21</f>
        <v>0</v>
      </c>
      <c r="F53" s="28">
        <f t="shared" si="7"/>
        <v>0</v>
      </c>
      <c r="G53" s="28">
        <f>'[1]DG S1 loc 1'!F53+'[1]DG S1 loc 2'!F53+'[1]DG S1 loc 3'!F53+'[1]DG S1 loc 4'!F53</f>
        <v>17850</v>
      </c>
      <c r="H53" s="29">
        <f>F53/D7</f>
        <v>0</v>
      </c>
      <c r="I53" s="35"/>
      <c r="J53" s="46"/>
      <c r="K53" s="84" t="s">
        <v>123</v>
      </c>
      <c r="L53" s="85"/>
      <c r="M53" s="46" t="s">
        <v>124</v>
      </c>
      <c r="N53" s="46" t="s">
        <v>125</v>
      </c>
      <c r="O53" s="84" t="s">
        <v>126</v>
      </c>
      <c r="P53" s="85"/>
      <c r="T53" s="41">
        <f>I53/1.19</f>
        <v>0</v>
      </c>
      <c r="U53" s="30">
        <f>F53-'[1]DEVIZ ELIGIBIL '!F50-'[1]DEVIZ NEELIGIBIL '!F50</f>
        <v>-17850</v>
      </c>
      <c r="V53" s="7">
        <f>V49/3</f>
        <v>1344537.8151260505</v>
      </c>
    </row>
    <row r="54" spans="1:23" hidden="1" x14ac:dyDescent="0.2">
      <c r="A54" s="27"/>
      <c r="B54" s="21" t="s">
        <v>127</v>
      </c>
      <c r="C54" s="28">
        <v>0</v>
      </c>
      <c r="D54" s="28"/>
      <c r="E54" s="28"/>
      <c r="F54" s="28"/>
      <c r="G54" s="28">
        <f>'[1]DG S1 loc 1'!F54+'[1]DG S1 loc 2'!F54+'[1]DG S1 loc 3'!F54+'[1]DG S1 loc 4'!F54</f>
        <v>0</v>
      </c>
      <c r="H54" s="29"/>
      <c r="I54" s="35"/>
      <c r="J54" s="46"/>
      <c r="K54" s="47"/>
      <c r="L54" s="48"/>
      <c r="M54" s="46"/>
      <c r="N54" s="46"/>
      <c r="O54" s="47"/>
      <c r="P54" s="48"/>
      <c r="T54" s="41"/>
      <c r="U54" s="30"/>
    </row>
    <row r="55" spans="1:23" ht="30" x14ac:dyDescent="0.2">
      <c r="A55" s="27" t="s">
        <v>128</v>
      </c>
      <c r="B55" s="21" t="s">
        <v>129</v>
      </c>
      <c r="C55" s="28">
        <v>0</v>
      </c>
      <c r="D55" s="28">
        <f>C55/D7</f>
        <v>0</v>
      </c>
      <c r="E55" s="28">
        <f>C55*0.21</f>
        <v>0</v>
      </c>
      <c r="F55" s="28">
        <f t="shared" si="7"/>
        <v>0</v>
      </c>
      <c r="G55" s="28">
        <f>'[1]DG S1 loc 1'!F55+'[1]DG S1 loc 2'!F55+'[1]DG S1 loc 3'!F55+'[1]DG S1 loc 4'!F55</f>
        <v>99960</v>
      </c>
      <c r="H55" s="29">
        <f>F55/D7</f>
        <v>0</v>
      </c>
      <c r="I55" s="35"/>
      <c r="J55" s="49">
        <v>1</v>
      </c>
      <c r="K55" s="86" t="s">
        <v>130</v>
      </c>
      <c r="L55" s="86"/>
      <c r="M55" s="51">
        <f>C42+C31</f>
        <v>0</v>
      </c>
      <c r="N55" s="51">
        <v>0</v>
      </c>
      <c r="O55" s="51">
        <f>M55+N55</f>
        <v>0</v>
      </c>
      <c r="P55" s="51">
        <f>O59*5/100</f>
        <v>25757.55</v>
      </c>
      <c r="T55" s="41">
        <f>I55/1.19</f>
        <v>0</v>
      </c>
      <c r="U55" s="30">
        <f>F55-'[1]DEVIZ ELIGIBIL '!F51-'[1]DEVIZ NEELIGIBIL '!F51</f>
        <v>-99960</v>
      </c>
      <c r="V55" s="7">
        <f>5000*5.5</f>
        <v>27500</v>
      </c>
      <c r="W55" s="7">
        <f>C55/3</f>
        <v>0</v>
      </c>
    </row>
    <row r="56" spans="1:23" hidden="1" x14ac:dyDescent="0.2">
      <c r="A56" s="27"/>
      <c r="B56" s="21" t="s">
        <v>131</v>
      </c>
      <c r="C56" s="28">
        <v>0</v>
      </c>
      <c r="D56" s="28"/>
      <c r="E56" s="28">
        <f>C56*19%</f>
        <v>0</v>
      </c>
      <c r="F56" s="28">
        <f>C56+E56</f>
        <v>0</v>
      </c>
      <c r="G56" s="28">
        <f>'[1]DG S1 loc 1'!F56+'[1]DG S1 loc 2'!F56+'[1]DG S1 loc 3'!F56+'[1]DG S1 loc 4'!F56</f>
        <v>99960</v>
      </c>
      <c r="H56" s="29"/>
      <c r="I56" s="35"/>
      <c r="J56" s="49"/>
      <c r="K56" s="50"/>
      <c r="L56" s="50"/>
      <c r="M56" s="51"/>
      <c r="N56" s="51"/>
      <c r="O56" s="51"/>
      <c r="P56" s="51"/>
      <c r="T56" s="41"/>
      <c r="U56" s="30"/>
    </row>
    <row r="57" spans="1:23" ht="60" hidden="1" x14ac:dyDescent="0.2">
      <c r="A57" s="27"/>
      <c r="B57" s="21" t="s">
        <v>132</v>
      </c>
      <c r="C57" s="28">
        <v>0</v>
      </c>
      <c r="D57" s="28"/>
      <c r="E57" s="28">
        <f>C57*19%</f>
        <v>0</v>
      </c>
      <c r="F57" s="28">
        <f>C57+E57</f>
        <v>0</v>
      </c>
      <c r="G57" s="28">
        <f>'[1]DG S1 loc 1'!F57+'[1]DG S1 loc 2'!F57+'[1]DG S1 loc 3'!F57+'[1]DG S1 loc 4'!F57</f>
        <v>0</v>
      </c>
      <c r="H57" s="29"/>
      <c r="I57" s="35"/>
      <c r="J57" s="49"/>
      <c r="K57" s="50"/>
      <c r="L57" s="50"/>
      <c r="M57" s="51"/>
      <c r="N57" s="51"/>
      <c r="O57" s="51"/>
      <c r="P57" s="51"/>
      <c r="T57" s="41"/>
      <c r="U57" s="30"/>
    </row>
    <row r="58" spans="1:23" ht="45" x14ac:dyDescent="0.2">
      <c r="A58" s="27" t="s">
        <v>133</v>
      </c>
      <c r="B58" s="21" t="s">
        <v>134</v>
      </c>
      <c r="C58" s="28">
        <f>[1]ANTEMASURATOARE!F49</f>
        <v>0</v>
      </c>
      <c r="D58" s="28">
        <f>C58/D7</f>
        <v>0</v>
      </c>
      <c r="E58" s="28">
        <f>C58*0.21</f>
        <v>0</v>
      </c>
      <c r="F58" s="28">
        <f t="shared" si="7"/>
        <v>0</v>
      </c>
      <c r="G58" s="28">
        <f>'[1]DG S1 loc 1'!F58+'[1]DG S1 loc 2'!F58+'[1]DG S1 loc 3'!F58+'[1]DG S1 loc 4'!F58</f>
        <v>0</v>
      </c>
      <c r="H58" s="29">
        <f>F58/D7</f>
        <v>0</v>
      </c>
      <c r="I58" s="16"/>
      <c r="J58" s="49">
        <v>2</v>
      </c>
      <c r="K58" s="87" t="s">
        <v>135</v>
      </c>
      <c r="L58" s="87"/>
      <c r="M58" s="51">
        <v>16400</v>
      </c>
      <c r="N58" s="51"/>
      <c r="O58" s="51">
        <f>M58+N58</f>
        <v>16400</v>
      </c>
      <c r="P58" s="51">
        <f>M59*4/100</f>
        <v>17316</v>
      </c>
      <c r="T58" s="41"/>
      <c r="U58" s="30">
        <f>F58-'[1]DEVIZ ELIGIBIL '!F52-'[1]DEVIZ NEELIGIBIL '!F52</f>
        <v>0</v>
      </c>
    </row>
    <row r="59" spans="1:23" x14ac:dyDescent="0.2">
      <c r="A59" s="27" t="s">
        <v>136</v>
      </c>
      <c r="B59" s="21" t="s">
        <v>137</v>
      </c>
      <c r="C59" s="28">
        <f>[1]ANTEMASURATOARE!F50</f>
        <v>0</v>
      </c>
      <c r="D59" s="28">
        <f>C59/D7</f>
        <v>0</v>
      </c>
      <c r="E59" s="28">
        <f>C59*0.21</f>
        <v>0</v>
      </c>
      <c r="F59" s="28">
        <f t="shared" si="7"/>
        <v>0</v>
      </c>
      <c r="G59" s="28">
        <f>'[1]DG S1 loc 1'!F59+'[1]DG S1 loc 2'!F59+'[1]DG S1 loc 3'!F59+'[1]DG S1 loc 4'!F59</f>
        <v>0</v>
      </c>
      <c r="H59" s="29">
        <f>F59/D7</f>
        <v>0</v>
      </c>
      <c r="I59" s="16"/>
      <c r="J59" s="49">
        <v>3</v>
      </c>
      <c r="K59" s="86" t="s">
        <v>138</v>
      </c>
      <c r="L59" s="86"/>
      <c r="M59" s="51">
        <f>M60+M61</f>
        <v>432900</v>
      </c>
      <c r="N59" s="51">
        <f t="shared" ref="N59" si="10">N60+N61</f>
        <v>82251</v>
      </c>
      <c r="O59" s="51">
        <f>M59+N59</f>
        <v>515151</v>
      </c>
      <c r="P59" s="51"/>
      <c r="T59" s="41"/>
      <c r="U59" s="30">
        <f>F59-'[1]DEVIZ ELIGIBIL '!F53-'[1]DEVIZ NEELIGIBIL '!F53</f>
        <v>0</v>
      </c>
    </row>
    <row r="60" spans="1:23" ht="15.75" customHeight="1" x14ac:dyDescent="0.2">
      <c r="A60" s="27" t="s">
        <v>139</v>
      </c>
      <c r="B60" s="21" t="s">
        <v>20</v>
      </c>
      <c r="C60" s="28">
        <v>0</v>
      </c>
      <c r="D60" s="28">
        <f>C60/D7</f>
        <v>0</v>
      </c>
      <c r="E60" s="28">
        <f>C60*0.21</f>
        <v>0</v>
      </c>
      <c r="F60" s="28">
        <f t="shared" si="7"/>
        <v>0</v>
      </c>
      <c r="G60" s="28">
        <f>'[1]DG S1 loc 1'!F60+'[1]DG S1 loc 2'!F60+'[1]DG S1 loc 3'!F60+'[1]DG S1 loc 4'!F60</f>
        <v>38556</v>
      </c>
      <c r="H60" s="29">
        <f>F60/D7</f>
        <v>0</v>
      </c>
      <c r="I60" s="35"/>
      <c r="J60" s="52"/>
      <c r="K60" s="49" t="s">
        <v>73</v>
      </c>
      <c r="L60" s="53" t="s">
        <v>140</v>
      </c>
      <c r="M60" s="51">
        <v>372900</v>
      </c>
      <c r="N60" s="51">
        <f>M60*19/100</f>
        <v>70851</v>
      </c>
      <c r="O60" s="51">
        <f>N60+M60</f>
        <v>443751</v>
      </c>
      <c r="P60" s="46"/>
      <c r="T60" s="41">
        <f>I60/1.19</f>
        <v>0</v>
      </c>
      <c r="U60" s="30">
        <f>F60-'[1]DEVIZ ELIGIBIL '!F54-'[1]DEVIZ NEELIGIBIL '!F54</f>
        <v>-38556</v>
      </c>
    </row>
    <row r="61" spans="1:23" ht="15" customHeight="1" x14ac:dyDescent="0.2">
      <c r="A61" s="77" t="s">
        <v>141</v>
      </c>
      <c r="B61" s="77"/>
      <c r="C61" s="31">
        <f>C49+C53+C55+C58+C59+C60</f>
        <v>0</v>
      </c>
      <c r="D61" s="31">
        <f>SUM(D49:D60)</f>
        <v>0</v>
      </c>
      <c r="E61" s="31">
        <f>E49+E53+E55+E58+E59+E60</f>
        <v>0</v>
      </c>
      <c r="F61" s="31">
        <f>F49+F53+F55+F58+F59+F60</f>
        <v>0</v>
      </c>
      <c r="G61" s="28">
        <f>'[1]DG S1 loc 1'!F61+'[1]DG S1 loc 2'!F61+'[1]DG S1 loc 3'!F61+'[1]DG S1 loc 4'!F61</f>
        <v>295358</v>
      </c>
      <c r="H61" s="32">
        <f>SUM(H49:H60)</f>
        <v>0</v>
      </c>
      <c r="I61" s="39">
        <f>F61-4800000-[1]ANTEMASURATOARE!F33</f>
        <v>-4831800</v>
      </c>
      <c r="J61" s="52"/>
      <c r="K61" s="49" t="s">
        <v>81</v>
      </c>
      <c r="L61" s="53" t="s">
        <v>142</v>
      </c>
      <c r="M61" s="51">
        <v>60000</v>
      </c>
      <c r="N61" s="51">
        <f>M61*19/100</f>
        <v>11400</v>
      </c>
      <c r="O61" s="51">
        <f>N61+M61</f>
        <v>71400</v>
      </c>
      <c r="P61" s="46"/>
      <c r="U61" s="30">
        <f>F61-'[1]DEVIZ ELIGIBIL '!F55-'[1]DEVIZ NEELIGIBIL '!F55</f>
        <v>-295358</v>
      </c>
    </row>
    <row r="62" spans="1:23" ht="15" customHeight="1" x14ac:dyDescent="0.2">
      <c r="A62" s="80" t="s">
        <v>143</v>
      </c>
      <c r="B62" s="80"/>
      <c r="C62" s="80"/>
      <c r="D62" s="80"/>
      <c r="E62" s="80"/>
      <c r="F62" s="80"/>
      <c r="G62" s="80"/>
      <c r="H62" s="80"/>
      <c r="I62" s="16"/>
      <c r="J62" s="52"/>
      <c r="K62" s="16"/>
      <c r="L62" s="16"/>
      <c r="M62" s="51"/>
      <c r="N62" s="51"/>
      <c r="O62" s="51"/>
      <c r="P62" s="46"/>
      <c r="U62" s="30">
        <f>F62-'[1]DEVIZ ELIGIBIL '!F56-'[1]DEVIZ NEELIGIBIL '!F56</f>
        <v>0</v>
      </c>
    </row>
    <row r="63" spans="1:23" ht="15" customHeight="1" x14ac:dyDescent="0.2">
      <c r="A63" s="54" t="s">
        <v>144</v>
      </c>
      <c r="B63" s="25" t="s">
        <v>145</v>
      </c>
      <c r="C63" s="31">
        <f>SUM(C64:C65)</f>
        <v>0</v>
      </c>
      <c r="D63" s="31">
        <f>SUM(D64:D65)</f>
        <v>0</v>
      </c>
      <c r="E63" s="31">
        <f>SUM(E64:E65)</f>
        <v>0</v>
      </c>
      <c r="F63" s="31">
        <f>SUM(F64:F65)</f>
        <v>0</v>
      </c>
      <c r="G63" s="28">
        <f>'[1]DG S1 loc 1'!F63+'[1]DG S1 loc 2'!F63+'[1]DG S1 loc 3'!F63+'[1]DG S1 loc 4'!F63</f>
        <v>4760</v>
      </c>
      <c r="H63" s="38">
        <f>SUM(H64:H65)</f>
        <v>0</v>
      </c>
      <c r="I63" s="16"/>
      <c r="J63" s="52">
        <v>4</v>
      </c>
      <c r="K63" s="46" t="s">
        <v>146</v>
      </c>
      <c r="L63" s="46"/>
      <c r="M63" s="51">
        <f t="shared" ref="M63:N63" si="11">M55+M58+M59</f>
        <v>449300</v>
      </c>
      <c r="N63" s="51">
        <f t="shared" si="11"/>
        <v>82251</v>
      </c>
      <c r="O63" s="51">
        <f>O55+O58+O59</f>
        <v>531551</v>
      </c>
      <c r="P63" s="55">
        <f>O63/500000</f>
        <v>1.063102</v>
      </c>
      <c r="U63" s="30">
        <f>F63-'[1]DEVIZ ELIGIBIL '!F57-'[1]DEVIZ NEELIGIBIL '!F57</f>
        <v>-4760</v>
      </c>
    </row>
    <row r="64" spans="1:23" ht="30" x14ac:dyDescent="0.2">
      <c r="A64" s="27"/>
      <c r="B64" s="21" t="s">
        <v>147</v>
      </c>
      <c r="C64" s="56">
        <v>0</v>
      </c>
      <c r="D64" s="56">
        <f>'[1]DO CAP V'!D17</f>
        <v>0</v>
      </c>
      <c r="E64" s="56">
        <f>C64*0.21</f>
        <v>0</v>
      </c>
      <c r="F64" s="56">
        <f>C64+E64</f>
        <v>0</v>
      </c>
      <c r="G64" s="28">
        <f>'[1]DG S1 loc 1'!F64+'[1]DG S1 loc 2'!F64+'[1]DG S1 loc 3'!F64+'[1]DG S1 loc 4'!F64</f>
        <v>2380</v>
      </c>
      <c r="H64" s="29">
        <f>F64/D7</f>
        <v>0</v>
      </c>
      <c r="I64" s="16"/>
      <c r="J64" s="52"/>
      <c r="K64" s="46"/>
      <c r="L64" s="46"/>
      <c r="M64" s="46"/>
      <c r="N64" s="46"/>
      <c r="O64" s="51"/>
      <c r="P64" s="46"/>
      <c r="U64" s="30">
        <f>F64-'[1]DEVIZ ELIGIBIL '!F58-'[1]DEVIZ NEELIGIBIL '!F58</f>
        <v>-2380</v>
      </c>
      <c r="V64" s="7">
        <f>V2/1.19</f>
        <v>4033613.4453781513</v>
      </c>
    </row>
    <row r="65" spans="1:27" ht="30" x14ac:dyDescent="0.2">
      <c r="A65" s="27"/>
      <c r="B65" s="21" t="s">
        <v>148</v>
      </c>
      <c r="C65" s="56">
        <v>0</v>
      </c>
      <c r="D65" s="56">
        <f>C65/D7</f>
        <v>0</v>
      </c>
      <c r="E65" s="56">
        <f t="shared" ref="E65:E71" si="12">C65*0.21</f>
        <v>0</v>
      </c>
      <c r="F65" s="56">
        <f>C65+E65</f>
        <v>0</v>
      </c>
      <c r="G65" s="28">
        <f>'[1]DG S1 loc 1'!F65+'[1]DG S1 loc 2'!F65+'[1]DG S1 loc 3'!F65+'[1]DG S1 loc 4'!F65</f>
        <v>2380</v>
      </c>
      <c r="H65" s="29">
        <f>F65/D7</f>
        <v>0</v>
      </c>
      <c r="I65" s="16"/>
      <c r="J65" s="16"/>
      <c r="K65" s="16"/>
      <c r="L65" s="16"/>
      <c r="M65" s="16"/>
      <c r="N65" s="16"/>
      <c r="O65" s="16"/>
      <c r="P65" s="16"/>
      <c r="U65" s="30">
        <f>F65-'[1]DEVIZ ELIGIBIL '!F59-'[1]DEVIZ NEELIGIBIL '!F59</f>
        <v>-2380</v>
      </c>
      <c r="V65" s="7">
        <f>V64/3</f>
        <v>1344537.8151260505</v>
      </c>
    </row>
    <row r="66" spans="1:27" s="57" customFormat="1" x14ac:dyDescent="0.2">
      <c r="A66" s="27" t="s">
        <v>149</v>
      </c>
      <c r="B66" s="21" t="s">
        <v>150</v>
      </c>
      <c r="C66" s="56">
        <f>SUM(C67:C71)</f>
        <v>0</v>
      </c>
      <c r="D66" s="56">
        <f>SUM(D67:D71)</f>
        <v>182.06433882961525</v>
      </c>
      <c r="E66" s="56">
        <f t="shared" si="12"/>
        <v>0</v>
      </c>
      <c r="F66" s="56">
        <f>SUM(F67:F71)</f>
        <v>0</v>
      </c>
      <c r="G66" s="28">
        <f>'[1]DG S1 loc 1'!F66+'[1]DG S1 loc 2'!F66+'[1]DG S1 loc 3'!F66+'[1]DG S1 loc 4'!F66</f>
        <v>20334.8</v>
      </c>
      <c r="H66" s="38">
        <f>SUM(H67:H71)</f>
        <v>0</v>
      </c>
      <c r="I66" s="16"/>
      <c r="J66" s="16" t="s">
        <v>151</v>
      </c>
      <c r="K66" s="16" t="s">
        <v>152</v>
      </c>
      <c r="L66" s="16"/>
      <c r="M66" s="16"/>
      <c r="N66" s="16"/>
      <c r="O66" s="16"/>
      <c r="P66" s="16"/>
      <c r="U66" s="30">
        <f>F66-'[1]DEVIZ ELIGIBIL '!F60-'[1]DEVIZ NEELIGIBIL '!F60</f>
        <v>-20334.8</v>
      </c>
    </row>
    <row r="67" spans="1:27" ht="30" x14ac:dyDescent="0.2">
      <c r="A67" s="27"/>
      <c r="B67" s="21" t="s">
        <v>153</v>
      </c>
      <c r="C67" s="56">
        <v>0</v>
      </c>
      <c r="D67" s="56">
        <f>C67/D7</f>
        <v>0</v>
      </c>
      <c r="E67" s="56">
        <f t="shared" si="12"/>
        <v>0</v>
      </c>
      <c r="F67" s="56">
        <f>C67+E67</f>
        <v>0</v>
      </c>
      <c r="G67" s="28">
        <f>'[1]DG S1 loc 1'!F67+'[1]DG S1 loc 2'!F67+'[1]DG S1 loc 3'!F67+'[1]DG S1 loc 4'!F67</f>
        <v>0</v>
      </c>
      <c r="H67" s="29">
        <f>F67/D7</f>
        <v>0</v>
      </c>
      <c r="I67" s="16"/>
      <c r="J67" s="46"/>
      <c r="K67" s="46" t="s">
        <v>123</v>
      </c>
      <c r="L67" s="46"/>
      <c r="M67" s="46" t="s">
        <v>124</v>
      </c>
      <c r="N67" s="46" t="s">
        <v>125</v>
      </c>
      <c r="O67" s="46" t="s">
        <v>126</v>
      </c>
      <c r="P67" s="46"/>
      <c r="U67" s="30">
        <f>F67-'[1]DEVIZ ELIGIBIL '!F61-'[1]DEVIZ NEELIGIBIL '!F61</f>
        <v>0</v>
      </c>
    </row>
    <row r="68" spans="1:27" ht="30" x14ac:dyDescent="0.2">
      <c r="A68" s="27"/>
      <c r="B68" s="21" t="s">
        <v>154</v>
      </c>
      <c r="C68" s="56">
        <v>0</v>
      </c>
      <c r="D68" s="56">
        <f>'[1]DO CAP V'!D21</f>
        <v>151.55189136760427</v>
      </c>
      <c r="E68" s="56">
        <f t="shared" si="12"/>
        <v>0</v>
      </c>
      <c r="F68" s="56">
        <f t="shared" ref="F68:F74" si="13">C68+E68</f>
        <v>0</v>
      </c>
      <c r="G68" s="28">
        <f>'[1]DG S1 loc 1'!F68+'[1]DG S1 loc 2'!F68+'[1]DG S1 loc 3'!F68+'[1]DG S1 loc 4'!F68</f>
        <v>594.00000000000011</v>
      </c>
      <c r="H68" s="29">
        <f>F68/D7</f>
        <v>0</v>
      </c>
      <c r="I68" s="16"/>
      <c r="J68" s="46">
        <v>1</v>
      </c>
      <c r="K68" s="46" t="s">
        <v>130</v>
      </c>
      <c r="L68" s="46"/>
      <c r="M68" s="46">
        <v>13000</v>
      </c>
      <c r="N68" s="46"/>
      <c r="O68" s="46">
        <v>13000</v>
      </c>
      <c r="P68" s="46">
        <v>20460</v>
      </c>
      <c r="U68" s="30">
        <f>F68-'[1]DEVIZ ELIGIBIL '!F62-'[1]DEVIZ NEELIGIBIL '!F62</f>
        <v>-594</v>
      </c>
    </row>
    <row r="69" spans="1:27" ht="60" x14ac:dyDescent="0.2">
      <c r="A69" s="27"/>
      <c r="B69" s="21" t="s">
        <v>155</v>
      </c>
      <c r="C69" s="56">
        <v>0</v>
      </c>
      <c r="D69" s="56">
        <f>'[1]DO CAP V'!D22</f>
        <v>30.512447462010989</v>
      </c>
      <c r="E69" s="56">
        <f t="shared" si="12"/>
        <v>0</v>
      </c>
      <c r="F69" s="56">
        <f t="shared" si="13"/>
        <v>0</v>
      </c>
      <c r="G69" s="28">
        <f>'[1]DG S1 loc 1'!F69+'[1]DG S1 loc 2'!F69+'[1]DG S1 loc 3'!F69+'[1]DG S1 loc 4'!F69</f>
        <v>116.80000000000001</v>
      </c>
      <c r="H69" s="29">
        <f>F69/D7</f>
        <v>0</v>
      </c>
      <c r="I69" s="16"/>
      <c r="J69" s="46">
        <v>2</v>
      </c>
      <c r="K69" s="46" t="s">
        <v>135</v>
      </c>
      <c r="L69" s="58"/>
      <c r="M69" s="46">
        <v>0</v>
      </c>
      <c r="N69" s="46">
        <v>0</v>
      </c>
      <c r="O69" s="46">
        <v>0</v>
      </c>
      <c r="P69" s="46"/>
      <c r="U69" s="30">
        <f>F69-'[1]DEVIZ ELIGIBIL '!F63-'[1]DEVIZ NEELIGIBIL '!F63</f>
        <v>-116.8</v>
      </c>
      <c r="W69" s="30"/>
      <c r="X69" s="30"/>
      <c r="Y69" s="30"/>
      <c r="Z69" s="30"/>
    </row>
    <row r="70" spans="1:27" ht="27.75" customHeight="1" x14ac:dyDescent="0.2">
      <c r="A70" s="27"/>
      <c r="B70" s="21" t="s">
        <v>156</v>
      </c>
      <c r="C70" s="56">
        <v>0</v>
      </c>
      <c r="D70" s="56">
        <f>C70/D7</f>
        <v>0</v>
      </c>
      <c r="E70" s="56">
        <f t="shared" si="12"/>
        <v>0</v>
      </c>
      <c r="F70" s="56">
        <f t="shared" si="13"/>
        <v>0</v>
      </c>
      <c r="G70" s="28">
        <f>'[1]DG S1 loc 1'!F70+'[1]DG S1 loc 2'!F70+'[1]DG S1 loc 3'!F70+'[1]DG S1 loc 4'!F70</f>
        <v>584.00000000000011</v>
      </c>
      <c r="H70" s="29">
        <f>F70/D7</f>
        <v>0</v>
      </c>
      <c r="I70" s="16"/>
      <c r="J70" s="46">
        <v>3</v>
      </c>
      <c r="K70" s="46" t="s">
        <v>138</v>
      </c>
      <c r="L70" s="46"/>
      <c r="M70" s="46">
        <v>409200</v>
      </c>
      <c r="N70" s="46">
        <v>77748</v>
      </c>
      <c r="O70" s="46">
        <v>486948</v>
      </c>
      <c r="P70" s="46"/>
      <c r="U70" s="30">
        <f>F70-'[1]DEVIZ ELIGIBIL '!F64-'[1]DEVIZ NEELIGIBIL '!F64</f>
        <v>-584</v>
      </c>
      <c r="W70" s="30"/>
      <c r="X70" s="30"/>
      <c r="Y70" s="30"/>
      <c r="Z70" s="30"/>
      <c r="AA70" s="59"/>
    </row>
    <row r="71" spans="1:27" ht="45" x14ac:dyDescent="0.2">
      <c r="A71" s="27"/>
      <c r="B71" s="21" t="s">
        <v>157</v>
      </c>
      <c r="C71" s="56">
        <v>0</v>
      </c>
      <c r="D71" s="56">
        <f>C71/D7</f>
        <v>0</v>
      </c>
      <c r="E71" s="56">
        <f t="shared" si="12"/>
        <v>0</v>
      </c>
      <c r="F71" s="56">
        <f t="shared" si="13"/>
        <v>0</v>
      </c>
      <c r="G71" s="28">
        <f>'[1]DG S1 loc 1'!F71+'[1]DG S1 loc 2'!F71+'[1]DG S1 loc 3'!F71+'[1]DG S1 loc 4'!F71</f>
        <v>19040</v>
      </c>
      <c r="H71" s="29">
        <f>F71/D7</f>
        <v>0</v>
      </c>
      <c r="I71" s="16"/>
      <c r="J71" s="46"/>
      <c r="K71" s="46" t="s">
        <v>73</v>
      </c>
      <c r="L71" s="46" t="s">
        <v>140</v>
      </c>
      <c r="M71" s="46">
        <v>58000</v>
      </c>
      <c r="N71" s="46">
        <v>11020</v>
      </c>
      <c r="O71" s="46">
        <v>69020</v>
      </c>
      <c r="P71" s="46"/>
      <c r="U71" s="30">
        <f>F71-'[1]DEVIZ ELIGIBIL '!F65-'[1]DEVIZ NEELIGIBIL '!F65</f>
        <v>-19040</v>
      </c>
      <c r="V71" s="24">
        <v>1</v>
      </c>
      <c r="W71" s="30"/>
      <c r="X71" s="30"/>
      <c r="Y71" s="30"/>
      <c r="Z71" s="30"/>
    </row>
    <row r="72" spans="1:27" x14ac:dyDescent="0.2">
      <c r="A72" s="27" t="s">
        <v>158</v>
      </c>
      <c r="B72" s="21" t="s">
        <v>159</v>
      </c>
      <c r="C72" s="56">
        <v>0</v>
      </c>
      <c r="D72" s="56">
        <f>C72/D7</f>
        <v>0</v>
      </c>
      <c r="E72" s="56">
        <f>C72*0.21</f>
        <v>0</v>
      </c>
      <c r="F72" s="56">
        <f t="shared" si="13"/>
        <v>0</v>
      </c>
      <c r="G72" s="28">
        <f>'[1]DG S1 loc 1'!F72+'[1]DG S1 loc 2'!F72+'[1]DG S1 loc 3'!F72+'[1]DG S1 loc 4'!F72</f>
        <v>1904.0000000000005</v>
      </c>
      <c r="H72" s="21">
        <f>F72/D7</f>
        <v>0</v>
      </c>
      <c r="I72" s="16"/>
      <c r="J72" s="46"/>
      <c r="K72" s="46" t="s">
        <v>81</v>
      </c>
      <c r="L72" s="46" t="s">
        <v>142</v>
      </c>
      <c r="M72" s="46">
        <v>351200</v>
      </c>
      <c r="N72" s="46">
        <v>66728</v>
      </c>
      <c r="O72" s="46">
        <v>417928</v>
      </c>
      <c r="P72" s="46"/>
      <c r="U72" s="30">
        <f>F72-'[1]DEVIZ ELIGIBIL '!F66-'[1]DEVIZ NEELIGIBIL '!F66</f>
        <v>-1904</v>
      </c>
      <c r="W72" s="30"/>
      <c r="X72" s="30"/>
      <c r="Y72" s="30"/>
      <c r="Z72" s="30"/>
    </row>
    <row r="73" spans="1:27" x14ac:dyDescent="0.2">
      <c r="A73" s="27" t="s">
        <v>160</v>
      </c>
      <c r="B73" s="21" t="s">
        <v>161</v>
      </c>
      <c r="C73" s="56">
        <v>0</v>
      </c>
      <c r="D73" s="56">
        <f>C73/D7</f>
        <v>0</v>
      </c>
      <c r="E73" s="56">
        <f>C73*0.21</f>
        <v>0</v>
      </c>
      <c r="F73" s="56">
        <f t="shared" si="13"/>
        <v>0</v>
      </c>
      <c r="G73" s="28">
        <f>'[1]DG S1 loc 1'!F73+'[1]DG S1 loc 2'!F73+'[1]DG S1 loc 3'!F73+'[1]DG S1 loc 4'!F73</f>
        <v>1785</v>
      </c>
      <c r="H73" s="38">
        <f>F73/D7</f>
        <v>0</v>
      </c>
      <c r="I73" s="35">
        <f>F73</f>
        <v>0</v>
      </c>
      <c r="J73" s="46"/>
      <c r="K73" s="60"/>
      <c r="L73" s="46"/>
      <c r="M73" s="46"/>
      <c r="N73" s="46"/>
      <c r="O73" s="46"/>
      <c r="P73" s="46"/>
      <c r="T73" s="7">
        <f>I73/1.19</f>
        <v>0</v>
      </c>
      <c r="U73" s="30">
        <f>F73-'[1]DEVIZ ELIGIBIL '!F67-'[1]DEVIZ NEELIGIBIL '!F67</f>
        <v>-1785</v>
      </c>
    </row>
    <row r="74" spans="1:27" ht="30" x14ac:dyDescent="0.2">
      <c r="A74" s="27"/>
      <c r="B74" s="21" t="s">
        <v>162</v>
      </c>
      <c r="C74" s="56">
        <v>0</v>
      </c>
      <c r="D74" s="56"/>
      <c r="E74" s="56">
        <f>C74*0.21</f>
        <v>0</v>
      </c>
      <c r="F74" s="56">
        <f t="shared" si="13"/>
        <v>0</v>
      </c>
      <c r="G74" s="28">
        <f>'[1]DG S1 loc 1'!F74+'[1]DG S1 loc 2'!F74+'[1]DG S1 loc 3'!F74+'[1]DG S1 loc 4'!F74</f>
        <v>1785</v>
      </c>
      <c r="H74" s="38"/>
      <c r="I74" s="35"/>
      <c r="J74" s="46"/>
      <c r="K74" s="60"/>
      <c r="L74" s="46"/>
      <c r="M74" s="46"/>
      <c r="N74" s="46"/>
      <c r="O74" s="46"/>
      <c r="P74" s="46"/>
      <c r="U74" s="30"/>
    </row>
    <row r="75" spans="1:27" ht="15" customHeight="1" x14ac:dyDescent="0.2">
      <c r="A75" s="77" t="s">
        <v>163</v>
      </c>
      <c r="B75" s="77"/>
      <c r="C75" s="31">
        <f>C63+C66+C72+C73</f>
        <v>0</v>
      </c>
      <c r="D75" s="31">
        <f>D63+D66+D72+D73</f>
        <v>182.06433882961525</v>
      </c>
      <c r="E75" s="31">
        <f>E63+E66+E72+E73</f>
        <v>0</v>
      </c>
      <c r="F75" s="31">
        <f>F63+F66+F72+F73</f>
        <v>0</v>
      </c>
      <c r="G75" s="28">
        <f>'[1]DG S1 loc 1'!F75+'[1]DG S1 loc 2'!F75+'[1]DG S1 loc 3'!F75+'[1]DG S1 loc 4'!F75</f>
        <v>28783.8</v>
      </c>
      <c r="H75" s="32">
        <f>H63+H66+H72+H73</f>
        <v>0</v>
      </c>
      <c r="I75" s="16"/>
      <c r="J75" s="46">
        <v>4</v>
      </c>
      <c r="K75" s="46" t="s">
        <v>146</v>
      </c>
      <c r="L75" s="46"/>
      <c r="M75" s="46">
        <v>422200</v>
      </c>
      <c r="N75" s="46">
        <v>77748</v>
      </c>
      <c r="O75" s="46">
        <v>499948</v>
      </c>
      <c r="P75" s="46">
        <v>0.99989600000000001</v>
      </c>
      <c r="U75" s="30">
        <f>F75-'[1]DEVIZ ELIGIBIL '!F68-'[1]DEVIZ NEELIGIBIL '!F68</f>
        <v>-28783.8</v>
      </c>
    </row>
    <row r="76" spans="1:27" ht="29.25" customHeight="1" x14ac:dyDescent="0.2">
      <c r="A76" s="80" t="s">
        <v>164</v>
      </c>
      <c r="B76" s="80"/>
      <c r="C76" s="80"/>
      <c r="D76" s="80"/>
      <c r="E76" s="80"/>
      <c r="F76" s="80"/>
      <c r="G76" s="80"/>
      <c r="H76" s="80"/>
      <c r="I76" s="16"/>
      <c r="J76" s="46"/>
      <c r="K76" s="61"/>
      <c r="L76" s="61"/>
      <c r="M76" s="46"/>
      <c r="N76" s="46"/>
      <c r="O76" s="46">
        <v>500000</v>
      </c>
      <c r="P76" s="46"/>
      <c r="U76" s="30">
        <f>F76-'[1]DEVIZ ELIGIBIL '!F69-'[1]DEVIZ NEELIGIBIL '!F69</f>
        <v>0</v>
      </c>
    </row>
    <row r="77" spans="1:27" ht="15" customHeight="1" x14ac:dyDescent="0.2">
      <c r="A77" s="27" t="s">
        <v>165</v>
      </c>
      <c r="B77" s="21" t="s">
        <v>166</v>
      </c>
      <c r="C77" s="28">
        <v>0</v>
      </c>
      <c r="D77" s="28">
        <f>C77/D7</f>
        <v>0</v>
      </c>
      <c r="E77" s="28">
        <f>C77*0.21</f>
        <v>0</v>
      </c>
      <c r="F77" s="28">
        <f>C77+E77</f>
        <v>0</v>
      </c>
      <c r="G77" s="28">
        <f>'[1]DG S1 loc 1'!F77+'[1]DG S1 loc 2'!F77+'[1]DG S1 loc 3'!F77+'[1]DG S1 loc 4'!F77</f>
        <v>999.99999999999989</v>
      </c>
      <c r="H77" s="29">
        <f>F77/D7</f>
        <v>0</v>
      </c>
      <c r="I77" s="16"/>
      <c r="J77" s="16"/>
      <c r="K77" s="16"/>
      <c r="L77" s="16"/>
      <c r="M77" s="16"/>
      <c r="N77" s="16"/>
      <c r="O77" s="16"/>
      <c r="P77" s="16"/>
      <c r="U77" s="30">
        <f>F77-'[1]DEVIZ ELIGIBIL '!F70-'[1]DEVIZ NEELIGIBIL '!F70</f>
        <v>-1000</v>
      </c>
    </row>
    <row r="78" spans="1:27" x14ac:dyDescent="0.2">
      <c r="A78" s="27" t="s">
        <v>167</v>
      </c>
      <c r="B78" s="21" t="s">
        <v>168</v>
      </c>
      <c r="C78" s="28">
        <v>0</v>
      </c>
      <c r="D78" s="28">
        <f>C78/D7</f>
        <v>0</v>
      </c>
      <c r="E78" s="28">
        <f>C78*0.21</f>
        <v>0</v>
      </c>
      <c r="F78" s="28">
        <f>C78+E78</f>
        <v>0</v>
      </c>
      <c r="G78" s="28">
        <f>'[1]DG S1 loc 1'!F78+'[1]DG S1 loc 2'!F78+'[1]DG S1 loc 3'!F78+'[1]DG S1 loc 4'!F78</f>
        <v>999.99999999999989</v>
      </c>
      <c r="H78" s="29">
        <f>F78/D7</f>
        <v>0</v>
      </c>
      <c r="I78" s="16"/>
      <c r="J78" s="16"/>
      <c r="K78" s="16"/>
      <c r="L78" s="16"/>
      <c r="M78" s="16"/>
      <c r="N78" s="16"/>
      <c r="O78" s="16"/>
      <c r="P78" s="16"/>
      <c r="U78" s="30">
        <f>F78-'[1]DEVIZ ELIGIBIL '!F71-'[1]DEVIZ NEELIGIBIL '!F71</f>
        <v>-1000</v>
      </c>
    </row>
    <row r="79" spans="1:27" ht="15" customHeight="1" thickBot="1" x14ac:dyDescent="0.25">
      <c r="A79" s="77" t="s">
        <v>169</v>
      </c>
      <c r="B79" s="77"/>
      <c r="C79" s="31">
        <f>SUM(C77:C78)</f>
        <v>0</v>
      </c>
      <c r="D79" s="31">
        <f>SUM(D77:D78)</f>
        <v>0</v>
      </c>
      <c r="E79" s="31">
        <f>SUM(E77:E78)</f>
        <v>0</v>
      </c>
      <c r="F79" s="31">
        <f>SUM(F77:F78)</f>
        <v>0</v>
      </c>
      <c r="G79" s="28">
        <f>'[1]DG S1 loc 1'!F79+'[1]DG S1 loc 2'!F79+'[1]DG S1 loc 3'!F79+'[1]DG S1 loc 4'!F79</f>
        <v>1999.9999999999998</v>
      </c>
      <c r="H79" s="32">
        <f>SUM(H77:H78)</f>
        <v>0</v>
      </c>
      <c r="I79" s="16"/>
      <c r="J79" s="16"/>
      <c r="K79" s="16"/>
      <c r="L79" s="16"/>
      <c r="M79" s="16"/>
      <c r="N79" s="16"/>
      <c r="O79" s="16"/>
      <c r="P79" s="16"/>
      <c r="U79" s="30">
        <f>F79-'[1]DEVIZ ELIGIBIL '!F72-'[1]DEVIZ NEELIGIBIL '!F72</f>
        <v>-2000</v>
      </c>
      <c r="V79" s="24"/>
    </row>
    <row r="80" spans="1:27" ht="53.45" customHeight="1" thickBot="1" x14ac:dyDescent="0.25">
      <c r="A80" s="82" t="s">
        <v>170</v>
      </c>
      <c r="B80" s="83"/>
      <c r="C80" s="83"/>
      <c r="D80" s="83"/>
      <c r="E80" s="83"/>
      <c r="F80" s="83"/>
      <c r="G80" s="28"/>
      <c r="H80" s="32"/>
      <c r="I80" s="16"/>
      <c r="J80" s="16"/>
      <c r="K80" s="16"/>
      <c r="L80" s="16"/>
      <c r="M80" s="16"/>
      <c r="N80" s="16"/>
      <c r="O80" s="16"/>
      <c r="P80" s="16"/>
      <c r="U80" s="30"/>
      <c r="V80" s="24"/>
    </row>
    <row r="81" spans="1:32" ht="45.75" thickBot="1" x14ac:dyDescent="0.25">
      <c r="A81" s="62" t="s">
        <v>171</v>
      </c>
      <c r="B81" s="63" t="s">
        <v>172</v>
      </c>
      <c r="C81" s="64">
        <v>0</v>
      </c>
      <c r="D81" s="64" t="e">
        <f>C81/#REF!</f>
        <v>#REF!</v>
      </c>
      <c r="E81" s="64">
        <f>C81*0.19</f>
        <v>0</v>
      </c>
      <c r="F81" s="64">
        <f>C81+E81</f>
        <v>0</v>
      </c>
      <c r="G81" s="28"/>
      <c r="H81" s="32"/>
      <c r="I81" s="16"/>
      <c r="J81" s="16"/>
      <c r="K81" s="16"/>
      <c r="L81" s="16"/>
      <c r="M81" s="16"/>
      <c r="N81" s="16"/>
      <c r="O81" s="16"/>
      <c r="P81" s="16"/>
      <c r="U81" s="30"/>
      <c r="V81" s="24"/>
    </row>
    <row r="82" spans="1:32" ht="15" customHeight="1" thickBot="1" x14ac:dyDescent="0.25">
      <c r="A82" s="62" t="s">
        <v>173</v>
      </c>
      <c r="B82" s="63" t="s">
        <v>174</v>
      </c>
      <c r="C82" s="64">
        <v>0</v>
      </c>
      <c r="D82" s="64" t="e">
        <f>C82/#REF!</f>
        <v>#REF!</v>
      </c>
      <c r="E82" s="64">
        <f>C82*0.19</f>
        <v>0</v>
      </c>
      <c r="F82" s="64">
        <f>C82+E82</f>
        <v>0</v>
      </c>
      <c r="G82" s="28"/>
      <c r="H82" s="32"/>
      <c r="I82" s="16"/>
      <c r="J82" s="16"/>
      <c r="K82" s="16"/>
      <c r="L82" s="16"/>
      <c r="M82" s="16"/>
      <c r="N82" s="16"/>
      <c r="O82" s="16"/>
      <c r="P82" s="16"/>
      <c r="U82" s="30"/>
      <c r="V82" s="24"/>
    </row>
    <row r="83" spans="1:32" ht="15" customHeight="1" thickBot="1" x14ac:dyDescent="0.25">
      <c r="A83" s="88" t="s">
        <v>175</v>
      </c>
      <c r="B83" s="89"/>
      <c r="C83" s="65">
        <f>SUM(C81:C82)</f>
        <v>0</v>
      </c>
      <c r="D83" s="65" t="e">
        <f>SUM(D81:D82)</f>
        <v>#REF!</v>
      </c>
      <c r="E83" s="65">
        <f>SUM(E81:E82)</f>
        <v>0</v>
      </c>
      <c r="F83" s="65">
        <f>SUM(F81:F82)</f>
        <v>0</v>
      </c>
      <c r="G83" s="28"/>
      <c r="H83" s="32"/>
      <c r="I83" s="16"/>
      <c r="J83" s="16"/>
      <c r="K83" s="16"/>
      <c r="L83" s="16"/>
      <c r="M83" s="16"/>
      <c r="N83" s="16"/>
      <c r="O83" s="16"/>
      <c r="P83" s="16"/>
      <c r="U83" s="30"/>
      <c r="V83" s="24"/>
    </row>
    <row r="84" spans="1:32" ht="15" customHeight="1" x14ac:dyDescent="0.2">
      <c r="A84" s="77" t="s">
        <v>176</v>
      </c>
      <c r="B84" s="77"/>
      <c r="C84" s="31">
        <f>C17+C20+C47+C61+C75+C79+C83</f>
        <v>0</v>
      </c>
      <c r="D84" s="31">
        <f>D17+D20+D47+D61+D75+D79</f>
        <v>9275.1778208858705</v>
      </c>
      <c r="E84" s="31">
        <f>E17+E20+E47+E61+E75+E79+E83</f>
        <v>0</v>
      </c>
      <c r="F84" s="31">
        <f>F17+F20+F47+F61+F75+F79+F83</f>
        <v>0</v>
      </c>
      <c r="G84" s="28">
        <f>'[1]DG S1 loc 1'!F80+'[1]DG S1 loc 2'!F80+'[1]DG S1 loc 3'!F80+'[1]DG S1 loc 4'!F80</f>
        <v>432884.79999999993</v>
      </c>
      <c r="H84" s="32">
        <f>H17+H20+H47+H61+H75+H79</f>
        <v>0</v>
      </c>
      <c r="I84" s="16"/>
      <c r="J84" s="16"/>
      <c r="K84" s="16"/>
      <c r="L84" s="16"/>
      <c r="M84" s="16"/>
      <c r="N84" s="16"/>
      <c r="O84" s="16"/>
      <c r="P84" s="16"/>
      <c r="U84" s="30">
        <f>F84-'[1]DEVIZ ELIGIBIL '!F73-'[1]DEVIZ NEELIGIBIL '!F73</f>
        <v>-432884.8</v>
      </c>
      <c r="V84" s="30">
        <f>F84-190000</f>
        <v>-190000</v>
      </c>
      <c r="AF84" s="30"/>
    </row>
    <row r="85" spans="1:32" ht="29.25" customHeight="1" x14ac:dyDescent="0.2">
      <c r="A85" s="77" t="s">
        <v>177</v>
      </c>
      <c r="B85" s="77"/>
      <c r="C85" s="31">
        <f>C14+C15+C20+C49+C53+C64</f>
        <v>0</v>
      </c>
      <c r="D85" s="31">
        <f>D14+D15+D20+D49+D53+D64</f>
        <v>0</v>
      </c>
      <c r="E85" s="31">
        <f>E14+E15+E20+E49+E53+E64</f>
        <v>0</v>
      </c>
      <c r="F85" s="31">
        <f>F14+F15+F20+F49+F53+F64</f>
        <v>0</v>
      </c>
      <c r="G85" s="28">
        <f>'[1]DG S1 loc 1'!F81+'[1]DG S1 loc 2'!F81+'[1]DG S1 loc 3'!F81+'[1]DG S1 loc 4'!F81</f>
        <v>181356.00000000003</v>
      </c>
      <c r="H85" s="32">
        <f>H14+H15+H20+H49+H53+H64</f>
        <v>0</v>
      </c>
      <c r="I85" s="16"/>
      <c r="J85" s="16"/>
      <c r="K85" s="16"/>
      <c r="L85" s="16"/>
      <c r="M85" s="16"/>
      <c r="N85" s="16"/>
      <c r="O85" s="16"/>
      <c r="P85" s="16"/>
      <c r="U85" s="30">
        <f>F85-'[1]DEVIZ ELIGIBIL '!F74-'[1]DEVIZ NEELIGIBIL '!F74</f>
        <v>-181356</v>
      </c>
    </row>
    <row r="86" spans="1:32" ht="15" customHeight="1" x14ac:dyDescent="0.2">
      <c r="H86" s="15"/>
      <c r="I86" s="6"/>
    </row>
    <row r="87" spans="1:32" ht="15" customHeight="1" x14ac:dyDescent="0.2">
      <c r="A87" s="66"/>
      <c r="B87" s="67"/>
      <c r="C87" s="67"/>
      <c r="D87" s="67"/>
      <c r="E87" s="18"/>
      <c r="F87" s="67"/>
      <c r="G87" s="67"/>
      <c r="H87" s="15"/>
      <c r="I87" s="6"/>
      <c r="V87" s="30"/>
    </row>
    <row r="88" spans="1:32" ht="15.6" customHeight="1" x14ac:dyDescent="0.2">
      <c r="B88" s="68" t="s">
        <v>178</v>
      </c>
      <c r="C88" s="90" t="s">
        <v>179</v>
      </c>
      <c r="D88" s="90"/>
      <c r="E88" s="90"/>
      <c r="F88" s="90"/>
      <c r="G88" s="66"/>
      <c r="H88" s="15"/>
    </row>
    <row r="89" spans="1:32" ht="15.6" customHeight="1" x14ac:dyDescent="0.2">
      <c r="B89" s="68" t="s">
        <v>180</v>
      </c>
      <c r="C89" s="90"/>
      <c r="D89" s="90"/>
      <c r="E89" s="90"/>
      <c r="F89" s="90"/>
      <c r="G89" s="66"/>
      <c r="H89" s="15"/>
    </row>
    <row r="90" spans="1:32" ht="14.45" customHeight="1" x14ac:dyDescent="0.2">
      <c r="B90" s="68"/>
      <c r="C90" s="66"/>
      <c r="D90" s="66"/>
      <c r="E90" s="66"/>
      <c r="F90" s="66"/>
      <c r="G90" s="66"/>
      <c r="H90" s="6"/>
      <c r="I90" s="6"/>
    </row>
    <row r="91" spans="1:32" ht="14.45" customHeight="1" x14ac:dyDescent="0.2">
      <c r="B91" s="68"/>
      <c r="C91" s="66"/>
      <c r="D91" s="66"/>
      <c r="E91" s="66"/>
      <c r="F91" s="66"/>
      <c r="G91" s="66"/>
      <c r="H91" s="6"/>
      <c r="I91" s="6"/>
    </row>
    <row r="92" spans="1:32" ht="14.45" customHeight="1" x14ac:dyDescent="0.2">
      <c r="B92" s="68"/>
      <c r="C92" s="66"/>
      <c r="D92" s="66"/>
      <c r="E92" s="66"/>
      <c r="F92" s="66"/>
      <c r="G92" s="66"/>
      <c r="H92" s="6"/>
      <c r="I92" s="6"/>
    </row>
    <row r="93" spans="1:32" ht="14.45" customHeight="1" x14ac:dyDescent="0.2">
      <c r="B93" s="68"/>
      <c r="C93" s="66"/>
      <c r="D93" s="66"/>
      <c r="E93" s="66"/>
      <c r="F93" s="66"/>
      <c r="G93" s="66"/>
      <c r="H93" s="6"/>
      <c r="I93" s="6"/>
    </row>
    <row r="94" spans="1:32" ht="14.45" customHeight="1" x14ac:dyDescent="0.2">
      <c r="B94" s="68"/>
      <c r="C94" s="66"/>
      <c r="D94" s="66"/>
      <c r="E94" s="66"/>
      <c r="F94" s="66"/>
      <c r="G94" s="66"/>
      <c r="H94" s="6"/>
      <c r="I94" s="6"/>
    </row>
    <row r="95" spans="1:32" ht="14.45" customHeight="1" x14ac:dyDescent="0.2">
      <c r="B95" s="68"/>
      <c r="C95" s="66"/>
      <c r="D95" s="66"/>
      <c r="E95" s="66"/>
      <c r="F95" s="66"/>
      <c r="G95" s="66"/>
      <c r="H95" s="6"/>
      <c r="I95" s="6"/>
    </row>
    <row r="96" spans="1:32" x14ac:dyDescent="0.2">
      <c r="B96" s="66"/>
      <c r="H96" s="6"/>
      <c r="I96" s="69"/>
    </row>
    <row r="97" spans="2:9" x14ac:dyDescent="0.2">
      <c r="B97" s="66"/>
      <c r="H97" s="6"/>
      <c r="I97" s="69"/>
    </row>
    <row r="99" spans="2:9" x14ac:dyDescent="0.2">
      <c r="B99" s="66"/>
      <c r="C99" s="66"/>
      <c r="D99" s="66"/>
      <c r="E99" s="66"/>
      <c r="F99" s="66"/>
      <c r="G99" s="66"/>
      <c r="H99" s="70"/>
      <c r="I99" s="70"/>
    </row>
    <row r="100" spans="2:9" x14ac:dyDescent="0.2">
      <c r="B100" s="66"/>
      <c r="C100" s="66"/>
      <c r="D100" s="66"/>
      <c r="E100" s="66"/>
      <c r="F100" s="66"/>
      <c r="G100" s="66"/>
      <c r="H100" s="70"/>
      <c r="I100" s="70"/>
    </row>
    <row r="101" spans="2:9" x14ac:dyDescent="0.2">
      <c r="B101" s="66"/>
      <c r="C101" s="66"/>
      <c r="D101" s="66"/>
      <c r="E101" s="66"/>
      <c r="F101" s="66"/>
      <c r="G101" s="66"/>
      <c r="H101" s="70"/>
      <c r="I101" s="70"/>
    </row>
    <row r="102" spans="2:9" x14ac:dyDescent="0.2">
      <c r="B102" s="66"/>
      <c r="C102" s="66"/>
      <c r="D102" s="66"/>
      <c r="E102" s="66"/>
      <c r="F102" s="66"/>
      <c r="G102" s="66"/>
      <c r="H102" s="70"/>
      <c r="I102" s="70"/>
    </row>
    <row r="103" spans="2:9" x14ac:dyDescent="0.2">
      <c r="B103" s="66"/>
      <c r="C103" s="66"/>
      <c r="D103" s="66"/>
      <c r="E103" s="66"/>
      <c r="F103" s="66"/>
      <c r="G103" s="66"/>
      <c r="H103" s="70"/>
      <c r="I103" s="70"/>
    </row>
    <row r="104" spans="2:9" x14ac:dyDescent="0.2">
      <c r="B104" s="66"/>
      <c r="C104" s="66"/>
      <c r="D104" s="66"/>
      <c r="E104" s="66"/>
      <c r="F104" s="66"/>
      <c r="G104" s="66"/>
      <c r="H104" s="70"/>
      <c r="I104" s="70"/>
    </row>
    <row r="105" spans="2:9" x14ac:dyDescent="0.2">
      <c r="B105" s="66"/>
      <c r="C105" s="66"/>
      <c r="D105" s="66"/>
      <c r="E105" s="66"/>
      <c r="F105" s="66"/>
      <c r="G105" s="66"/>
      <c r="H105" s="70"/>
      <c r="I105" s="70"/>
    </row>
    <row r="106" spans="2:9" x14ac:dyDescent="0.2">
      <c r="B106" s="66"/>
      <c r="C106" s="66"/>
      <c r="D106" s="66"/>
      <c r="E106" s="66"/>
      <c r="F106" s="66"/>
      <c r="G106" s="66"/>
      <c r="H106" s="70"/>
      <c r="I106" s="70"/>
    </row>
    <row r="107" spans="2:9" x14ac:dyDescent="0.2">
      <c r="B107" s="66"/>
      <c r="C107" s="66"/>
      <c r="D107" s="66"/>
      <c r="E107" s="66"/>
      <c r="F107" s="66"/>
      <c r="G107" s="66"/>
      <c r="H107" s="70"/>
      <c r="I107" s="70"/>
    </row>
    <row r="108" spans="2:9" x14ac:dyDescent="0.2">
      <c r="B108" s="66"/>
      <c r="C108" s="66"/>
      <c r="D108" s="66"/>
      <c r="E108" s="66"/>
      <c r="F108" s="66"/>
      <c r="G108" s="66"/>
      <c r="H108" s="70"/>
      <c r="I108" s="70"/>
    </row>
  </sheetData>
  <mergeCells count="35">
    <mergeCell ref="A83:B83"/>
    <mergeCell ref="A84:B84"/>
    <mergeCell ref="A85:B85"/>
    <mergeCell ref="C88:F88"/>
    <mergeCell ref="C89:F89"/>
    <mergeCell ref="A80:F80"/>
    <mergeCell ref="A48:H48"/>
    <mergeCell ref="K53:L53"/>
    <mergeCell ref="O53:P53"/>
    <mergeCell ref="K55:L55"/>
    <mergeCell ref="K58:L58"/>
    <mergeCell ref="K59:L59"/>
    <mergeCell ref="A61:B61"/>
    <mergeCell ref="A62:H62"/>
    <mergeCell ref="A75:B75"/>
    <mergeCell ref="A76:H76"/>
    <mergeCell ref="A79:B79"/>
    <mergeCell ref="A47:B47"/>
    <mergeCell ref="A8:A10"/>
    <mergeCell ref="B8:B10"/>
    <mergeCell ref="E8:E9"/>
    <mergeCell ref="A12:H12"/>
    <mergeCell ref="A17:B17"/>
    <mergeCell ref="A18:F18"/>
    <mergeCell ref="A20:B20"/>
    <mergeCell ref="A21:H21"/>
    <mergeCell ref="A23:A27"/>
    <mergeCell ref="A32:A37"/>
    <mergeCell ref="A40:A41"/>
    <mergeCell ref="B7:C7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850A-0233-4FF7-860A-49C084B6F81C}">
  <dimension ref="C3:K35"/>
  <sheetViews>
    <sheetView zoomScale="70" zoomScaleNormal="70" workbookViewId="0">
      <selection activeCell="F9" sqref="F9"/>
    </sheetView>
  </sheetViews>
  <sheetFormatPr defaultRowHeight="15" x14ac:dyDescent="0.25"/>
  <cols>
    <col min="3" max="3" width="30.7109375" bestFit="1" customWidth="1"/>
    <col min="4" max="4" width="6.5703125" customWidth="1"/>
    <col min="5" max="6" width="16.28515625" customWidth="1"/>
    <col min="7" max="7" width="13.85546875" bestFit="1" customWidth="1"/>
    <col min="8" max="8" width="14.7109375" bestFit="1" customWidth="1"/>
    <col min="9" max="9" width="12.7109375" bestFit="1" customWidth="1"/>
    <col min="10" max="10" width="22.5703125" bestFit="1" customWidth="1"/>
  </cols>
  <sheetData>
    <row r="3" spans="3:11" x14ac:dyDescent="0.25">
      <c r="C3" s="4" t="s">
        <v>18</v>
      </c>
      <c r="D3" s="4" t="s">
        <v>22</v>
      </c>
      <c r="E3" s="1" t="s">
        <v>5</v>
      </c>
      <c r="F3" s="1" t="s">
        <v>6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7</v>
      </c>
    </row>
    <row r="4" spans="3:11" x14ac:dyDescent="0.25">
      <c r="C4" s="1" t="s">
        <v>0</v>
      </c>
      <c r="D4" s="1" t="s">
        <v>181</v>
      </c>
      <c r="E4" s="1">
        <f>G4+H4+I4+J4</f>
        <v>6</v>
      </c>
      <c r="F4" s="1">
        <f>13700*1.3</f>
        <v>17810</v>
      </c>
      <c r="G4" s="1">
        <v>2</v>
      </c>
      <c r="H4" s="1">
        <v>2</v>
      </c>
      <c r="I4" s="1">
        <v>1</v>
      </c>
      <c r="J4" s="1">
        <v>1</v>
      </c>
      <c r="K4" s="1">
        <f>E4*F4</f>
        <v>106860</v>
      </c>
    </row>
    <row r="5" spans="3:11" x14ac:dyDescent="0.25">
      <c r="C5" s="1" t="s">
        <v>182</v>
      </c>
      <c r="D5" s="1" t="s">
        <v>181</v>
      </c>
      <c r="E5" s="1">
        <v>4</v>
      </c>
      <c r="F5" s="1">
        <v>3500</v>
      </c>
      <c r="G5" s="1">
        <v>1</v>
      </c>
      <c r="H5" s="1">
        <v>1</v>
      </c>
      <c r="I5" s="1">
        <v>1</v>
      </c>
      <c r="J5" s="1">
        <v>1</v>
      </c>
      <c r="K5" s="1">
        <f>E5*F5</f>
        <v>14000</v>
      </c>
    </row>
    <row r="6" spans="3:11" x14ac:dyDescent="0.25">
      <c r="C6" s="1" t="s">
        <v>10</v>
      </c>
      <c r="D6" s="1" t="s">
        <v>181</v>
      </c>
      <c r="E6" s="1">
        <f>G6+H6+I6+J6</f>
        <v>4</v>
      </c>
      <c r="F6" s="1">
        <v>2000</v>
      </c>
      <c r="G6" s="1">
        <v>1</v>
      </c>
      <c r="H6" s="1">
        <v>1</v>
      </c>
      <c r="I6" s="1">
        <v>1</v>
      </c>
      <c r="J6" s="1">
        <v>1</v>
      </c>
      <c r="K6" s="1">
        <f t="shared" ref="K6:K22" si="0">E6*F6</f>
        <v>8000</v>
      </c>
    </row>
    <row r="7" spans="3:11" x14ac:dyDescent="0.25">
      <c r="C7" s="1" t="s">
        <v>13</v>
      </c>
      <c r="D7" s="1" t="s">
        <v>181</v>
      </c>
      <c r="E7" s="1">
        <f>G7+H7+I7+J7</f>
        <v>4</v>
      </c>
      <c r="F7" s="1">
        <v>500</v>
      </c>
      <c r="G7" s="1">
        <v>1</v>
      </c>
      <c r="H7" s="1">
        <v>1</v>
      </c>
      <c r="I7" s="1">
        <v>1</v>
      </c>
      <c r="J7" s="1">
        <v>1</v>
      </c>
      <c r="K7" s="1">
        <f>E7*F7</f>
        <v>2000</v>
      </c>
    </row>
    <row r="8" spans="3:11" x14ac:dyDescent="0.25">
      <c r="C8" s="4" t="s">
        <v>19</v>
      </c>
      <c r="D8" s="4"/>
      <c r="E8" s="1"/>
      <c r="F8" s="1"/>
      <c r="G8" s="1"/>
      <c r="H8" s="1"/>
      <c r="I8" s="1"/>
      <c r="J8" s="1"/>
      <c r="K8" s="4">
        <f>K4+K5+K6+K7</f>
        <v>130860</v>
      </c>
    </row>
    <row r="9" spans="3:11" ht="45" x14ac:dyDescent="0.25">
      <c r="C9" s="2" t="s">
        <v>17</v>
      </c>
      <c r="D9" s="2" t="s">
        <v>183</v>
      </c>
      <c r="E9" s="1">
        <f t="shared" ref="E9:E19" si="1">G9+H9+I9+J9</f>
        <v>70</v>
      </c>
      <c r="F9" s="1">
        <v>450</v>
      </c>
      <c r="G9" s="1"/>
      <c r="H9" s="1">
        <v>50</v>
      </c>
      <c r="I9" s="1"/>
      <c r="J9" s="1">
        <v>20</v>
      </c>
      <c r="K9" s="1">
        <f t="shared" si="0"/>
        <v>31500</v>
      </c>
    </row>
    <row r="10" spans="3:11" ht="45" x14ac:dyDescent="0.25">
      <c r="C10" s="2" t="s">
        <v>16</v>
      </c>
      <c r="D10" s="2" t="s">
        <v>183</v>
      </c>
      <c r="E10" s="1">
        <f t="shared" si="1"/>
        <v>80</v>
      </c>
      <c r="F10" s="1">
        <v>200</v>
      </c>
      <c r="G10" s="1">
        <v>20</v>
      </c>
      <c r="H10" s="1">
        <v>20</v>
      </c>
      <c r="I10" s="1">
        <v>40</v>
      </c>
      <c r="J10" s="1"/>
      <c r="K10" s="1">
        <f t="shared" si="0"/>
        <v>16000</v>
      </c>
    </row>
    <row r="11" spans="3:11" x14ac:dyDescent="0.25">
      <c r="C11" s="1" t="s">
        <v>29</v>
      </c>
      <c r="D11" s="1" t="s">
        <v>183</v>
      </c>
      <c r="E11" s="1">
        <f t="shared" si="1"/>
        <v>240</v>
      </c>
      <c r="F11" s="1">
        <v>80</v>
      </c>
      <c r="G11" s="1">
        <f>20+20</f>
        <v>40</v>
      </c>
      <c r="H11" s="1">
        <f>70+70</f>
        <v>140</v>
      </c>
      <c r="I11" s="1">
        <v>40</v>
      </c>
      <c r="J11" s="1">
        <v>20</v>
      </c>
      <c r="K11" s="1">
        <f t="shared" si="0"/>
        <v>19200</v>
      </c>
    </row>
    <row r="12" spans="3:11" ht="30" x14ac:dyDescent="0.25">
      <c r="C12" s="2" t="s">
        <v>30</v>
      </c>
      <c r="D12" s="2" t="s">
        <v>183</v>
      </c>
      <c r="E12" s="1">
        <f>G12+H12+I12+J12</f>
        <v>150</v>
      </c>
      <c r="F12" s="1">
        <f>20</f>
        <v>20</v>
      </c>
      <c r="G12" s="1">
        <v>20</v>
      </c>
      <c r="H12" s="1">
        <v>70</v>
      </c>
      <c r="I12" s="1">
        <v>40</v>
      </c>
      <c r="J12" s="1">
        <v>20</v>
      </c>
      <c r="K12" s="1">
        <f>E12*F12</f>
        <v>3000</v>
      </c>
    </row>
    <row r="13" spans="3:11" x14ac:dyDescent="0.25">
      <c r="C13" s="2" t="s">
        <v>31</v>
      </c>
      <c r="D13" s="2" t="s">
        <v>183</v>
      </c>
      <c r="E13" s="1">
        <f>E12</f>
        <v>150</v>
      </c>
      <c r="F13" s="1">
        <v>12</v>
      </c>
      <c r="G13" s="1"/>
      <c r="H13" s="1"/>
      <c r="I13" s="1"/>
      <c r="J13" s="1"/>
      <c r="K13" s="1">
        <f>E13*F13</f>
        <v>1800</v>
      </c>
    </row>
    <row r="14" spans="3:11" ht="30" x14ac:dyDescent="0.25">
      <c r="C14" s="2" t="s">
        <v>23</v>
      </c>
      <c r="D14" s="1" t="s">
        <v>183</v>
      </c>
      <c r="E14" s="1">
        <f>E11+20</f>
        <v>260</v>
      </c>
      <c r="F14" s="1">
        <v>25</v>
      </c>
      <c r="G14" s="1"/>
      <c r="H14" s="1"/>
      <c r="I14" s="1"/>
      <c r="J14" s="1"/>
      <c r="K14" s="1">
        <f t="shared" si="0"/>
        <v>6500</v>
      </c>
    </row>
    <row r="15" spans="3:11" x14ac:dyDescent="0.25">
      <c r="C15" s="1" t="s">
        <v>8</v>
      </c>
      <c r="D15" s="1" t="s">
        <v>181</v>
      </c>
      <c r="E15" s="1">
        <f t="shared" si="1"/>
        <v>4</v>
      </c>
      <c r="F15" s="1">
        <v>1000</v>
      </c>
      <c r="G15" s="1">
        <v>1</v>
      </c>
      <c r="H15" s="1">
        <v>1</v>
      </c>
      <c r="I15" s="1">
        <v>1</v>
      </c>
      <c r="J15" s="1">
        <v>1</v>
      </c>
      <c r="K15" s="1">
        <f t="shared" si="0"/>
        <v>4000</v>
      </c>
    </row>
    <row r="16" spans="3:11" ht="45" x14ac:dyDescent="0.25">
      <c r="C16" s="2" t="s">
        <v>15</v>
      </c>
      <c r="D16" s="2" t="s">
        <v>181</v>
      </c>
      <c r="E16" s="1">
        <f t="shared" si="1"/>
        <v>4</v>
      </c>
      <c r="F16" s="1">
        <v>1500</v>
      </c>
      <c r="G16" s="1">
        <v>1</v>
      </c>
      <c r="H16" s="1">
        <v>1</v>
      </c>
      <c r="I16" s="1">
        <v>1</v>
      </c>
      <c r="J16" s="1">
        <v>1</v>
      </c>
      <c r="K16" s="1">
        <f t="shared" si="0"/>
        <v>6000</v>
      </c>
    </row>
    <row r="17" spans="3:11" x14ac:dyDescent="0.25">
      <c r="C17" s="1" t="s">
        <v>9</v>
      </c>
      <c r="D17" s="1" t="s">
        <v>181</v>
      </c>
      <c r="E17" s="1">
        <f t="shared" si="1"/>
        <v>4</v>
      </c>
      <c r="F17" s="1">
        <v>1000</v>
      </c>
      <c r="G17" s="1">
        <v>1</v>
      </c>
      <c r="H17" s="1">
        <v>1</v>
      </c>
      <c r="I17" s="1">
        <v>1</v>
      </c>
      <c r="J17" s="1">
        <v>1</v>
      </c>
      <c r="K17" s="1">
        <f t="shared" si="0"/>
        <v>4000</v>
      </c>
    </row>
    <row r="18" spans="3:11" x14ac:dyDescent="0.25">
      <c r="C18" s="1" t="s">
        <v>11</v>
      </c>
      <c r="D18" s="1" t="s">
        <v>181</v>
      </c>
      <c r="E18" s="1">
        <f t="shared" si="1"/>
        <v>4</v>
      </c>
      <c r="F18" s="1">
        <v>1000</v>
      </c>
      <c r="G18" s="1">
        <v>1</v>
      </c>
      <c r="H18" s="1">
        <v>1</v>
      </c>
      <c r="I18" s="1">
        <v>1</v>
      </c>
      <c r="J18" s="1">
        <v>1</v>
      </c>
      <c r="K18" s="1">
        <f t="shared" si="0"/>
        <v>4000</v>
      </c>
    </row>
    <row r="19" spans="3:11" x14ac:dyDescent="0.25">
      <c r="C19" s="1" t="s">
        <v>12</v>
      </c>
      <c r="D19" s="1" t="s">
        <v>181</v>
      </c>
      <c r="E19" s="1">
        <f t="shared" si="1"/>
        <v>12</v>
      </c>
      <c r="F19" s="1">
        <v>2500</v>
      </c>
      <c r="G19" s="1">
        <v>4</v>
      </c>
      <c r="H19" s="1">
        <v>4</v>
      </c>
      <c r="I19" s="1">
        <v>2</v>
      </c>
      <c r="J19" s="1">
        <v>2</v>
      </c>
      <c r="K19" s="1">
        <f t="shared" si="0"/>
        <v>30000</v>
      </c>
    </row>
    <row r="20" spans="3:11" x14ac:dyDescent="0.25">
      <c r="C20" s="1"/>
      <c r="D20" s="1"/>
      <c r="E20" s="1"/>
      <c r="F20" s="1"/>
      <c r="G20" s="1"/>
      <c r="H20" s="1"/>
      <c r="I20" s="1"/>
      <c r="J20" s="1"/>
      <c r="K20" s="4">
        <f>SUM(K9:K19)</f>
        <v>126000</v>
      </c>
    </row>
    <row r="21" spans="3:11" x14ac:dyDescent="0.25">
      <c r="C21" s="4" t="s">
        <v>20</v>
      </c>
      <c r="D21" s="4"/>
      <c r="E21" s="1"/>
      <c r="F21" s="1"/>
      <c r="G21" s="1"/>
      <c r="H21" s="1"/>
      <c r="I21" s="1"/>
      <c r="J21" s="1"/>
      <c r="K21" s="1"/>
    </row>
    <row r="22" spans="3:11" x14ac:dyDescent="0.25">
      <c r="C22" s="1" t="s">
        <v>14</v>
      </c>
      <c r="D22" s="1" t="s">
        <v>181</v>
      </c>
      <c r="E22" s="1">
        <v>1</v>
      </c>
      <c r="F22" s="1">
        <f>25*6*12*3*5</f>
        <v>27000</v>
      </c>
      <c r="G22" s="1">
        <v>2</v>
      </c>
      <c r="H22" s="1">
        <v>2</v>
      </c>
      <c r="I22" s="1">
        <v>1</v>
      </c>
      <c r="J22" s="1">
        <v>1</v>
      </c>
      <c r="K22" s="1">
        <f t="shared" si="0"/>
        <v>27000</v>
      </c>
    </row>
    <row r="23" spans="3:11" x14ac:dyDescent="0.25">
      <c r="C23" s="1"/>
      <c r="D23" s="1"/>
      <c r="E23" s="1"/>
      <c r="F23" s="1"/>
      <c r="G23" s="1"/>
      <c r="H23" s="1"/>
      <c r="I23" s="1"/>
      <c r="J23" s="1"/>
      <c r="K23" s="4">
        <f>K22</f>
        <v>27000</v>
      </c>
    </row>
    <row r="24" spans="3:11" x14ac:dyDescent="0.25">
      <c r="C24" s="4" t="s">
        <v>21</v>
      </c>
      <c r="D24" s="4"/>
      <c r="E24" s="1"/>
      <c r="F24" s="1"/>
      <c r="G24" s="1"/>
      <c r="H24" s="1"/>
      <c r="I24" s="1"/>
      <c r="J24" s="1"/>
      <c r="K24" s="1"/>
    </row>
    <row r="25" spans="3:11" x14ac:dyDescent="0.25">
      <c r="C25" s="1" t="s">
        <v>24</v>
      </c>
      <c r="D25" s="1" t="s">
        <v>181</v>
      </c>
      <c r="E25" s="1">
        <v>6</v>
      </c>
      <c r="F25" s="1">
        <v>350</v>
      </c>
      <c r="G25" s="1"/>
      <c r="H25" s="1"/>
      <c r="I25" s="1"/>
      <c r="J25" s="1"/>
      <c r="K25" s="1">
        <f>E25*F25</f>
        <v>2100</v>
      </c>
    </row>
    <row r="26" spans="3:11" x14ac:dyDescent="0.25">
      <c r="C26" s="1" t="s">
        <v>25</v>
      </c>
      <c r="D26" s="1" t="s">
        <v>181</v>
      </c>
      <c r="E26" s="1">
        <v>4</v>
      </c>
      <c r="F26" s="1">
        <v>250</v>
      </c>
      <c r="G26" s="1"/>
      <c r="H26" s="1"/>
      <c r="I26" s="1"/>
      <c r="J26" s="1"/>
      <c r="K26" s="1">
        <f t="shared" ref="K26:K29" si="2">E26*F26</f>
        <v>1000</v>
      </c>
    </row>
    <row r="27" spans="3:11" x14ac:dyDescent="0.25">
      <c r="C27" s="1" t="s">
        <v>26</v>
      </c>
      <c r="D27" s="1" t="s">
        <v>181</v>
      </c>
      <c r="E27" s="1">
        <v>4</v>
      </c>
      <c r="F27" s="1">
        <v>250</v>
      </c>
      <c r="G27" s="1"/>
      <c r="H27" s="1"/>
      <c r="I27" s="1"/>
      <c r="J27" s="1"/>
      <c r="K27" s="1">
        <f t="shared" si="2"/>
        <v>1000</v>
      </c>
    </row>
    <row r="28" spans="3:11" x14ac:dyDescent="0.25">
      <c r="C28" s="1" t="s">
        <v>27</v>
      </c>
      <c r="D28" s="1" t="s">
        <v>181</v>
      </c>
      <c r="E28" s="1">
        <f>E11+E12</f>
        <v>390</v>
      </c>
      <c r="F28" s="1">
        <v>12</v>
      </c>
      <c r="G28" s="1"/>
      <c r="H28" s="1"/>
      <c r="I28" s="1"/>
      <c r="J28" s="1"/>
      <c r="K28" s="1">
        <f t="shared" si="2"/>
        <v>4680</v>
      </c>
    </row>
    <row r="29" spans="3:11" x14ac:dyDescent="0.25">
      <c r="C29" s="1" t="s">
        <v>28</v>
      </c>
      <c r="D29" s="1" t="s">
        <v>181</v>
      </c>
      <c r="E29" s="1">
        <f>E9+E10</f>
        <v>150</v>
      </c>
      <c r="F29" s="1">
        <v>15</v>
      </c>
      <c r="G29" s="1"/>
      <c r="H29" s="1"/>
      <c r="I29" s="1"/>
      <c r="J29" s="1"/>
      <c r="K29" s="1">
        <f t="shared" si="2"/>
        <v>2250</v>
      </c>
    </row>
    <row r="30" spans="3:11" x14ac:dyDescent="0.25">
      <c r="K30" s="5">
        <f>SUM(K25:K29)</f>
        <v>11030</v>
      </c>
    </row>
    <row r="35" spans="10:11" x14ac:dyDescent="0.25">
      <c r="J35" t="s">
        <v>146</v>
      </c>
      <c r="K35" s="3">
        <f>K30+K23+K20+K8</f>
        <v>294890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DG</vt:lpstr>
      <vt:lpstr>investitie defalcat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ybs</dc:creator>
  <cp:lastModifiedBy>Catalin Frangulea Pastor</cp:lastModifiedBy>
  <cp:lastPrinted>2025-10-15T06:20:18Z</cp:lastPrinted>
  <dcterms:created xsi:type="dcterms:W3CDTF">2025-10-13T11:36:06Z</dcterms:created>
  <dcterms:modified xsi:type="dcterms:W3CDTF">2026-01-13T08:39:02Z</dcterms:modified>
</cp:coreProperties>
</file>